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firstSheet="6" activeTab="6"/>
  </bookViews>
  <sheets>
    <sheet name="HC Forte con DOH forte" sheetId="1" r:id="rId1"/>
    <sheet name="Esempio HA Debole con DOH forte" sheetId="2" r:id="rId2"/>
    <sheet name="Maschera HA Debole da riempire" sheetId="3" r:id="rId3"/>
    <sheet name="Es H2A Debole con DOH forte" sheetId="4" r:id="rId4"/>
    <sheet name="Maschera H2A Debole da riempire" sheetId="5" r:id="rId5"/>
    <sheet name="Diagramma di speciazione H3A" sheetId="6" r:id="rId6"/>
    <sheet name="Diagr. spec. H3A da riempire" sheetId="7" r:id="rId7"/>
    <sheet name="Diagramma di speciazione H2A" sheetId="8" r:id="rId8"/>
    <sheet name="Diagramma di speciazione HA" sheetId="9" r:id="rId9"/>
  </sheets>
  <definedNames/>
  <calcPr fullCalcOnLoad="1"/>
</workbook>
</file>

<file path=xl/sharedStrings.xml><?xml version="1.0" encoding="utf-8"?>
<sst xmlns="http://schemas.openxmlformats.org/spreadsheetml/2006/main" count="263" uniqueCount="101">
  <si>
    <t xml:space="preserve">p.e. a </t>
  </si>
  <si>
    <t>Questo ci permette di delimitare le zone in cui usare le varie formule</t>
  </si>
  <si>
    <t>pH</t>
  </si>
  <si>
    <r>
      <t>K</t>
    </r>
    <r>
      <rPr>
        <vertAlign val="subscript"/>
        <sz val="10"/>
        <rFont val="Arial"/>
        <family val="2"/>
      </rPr>
      <t>W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</si>
  <si>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] </t>
    </r>
  </si>
  <si>
    <r>
      <t>[OH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</t>
    </r>
  </si>
  <si>
    <r>
      <t>c</t>
    </r>
    <r>
      <rPr>
        <vertAlign val="subscript"/>
        <sz val="10"/>
        <color indexed="10"/>
        <rFont val="Arial"/>
        <family val="2"/>
      </rPr>
      <t>0</t>
    </r>
  </si>
  <si>
    <r>
      <t>V</t>
    </r>
    <r>
      <rPr>
        <vertAlign val="subscript"/>
        <sz val="10"/>
        <color indexed="10"/>
        <rFont val="Arial"/>
        <family val="2"/>
      </rPr>
      <t>0</t>
    </r>
  </si>
  <si>
    <r>
      <t>c</t>
    </r>
    <r>
      <rPr>
        <vertAlign val="subscript"/>
        <sz val="10"/>
        <color indexed="12"/>
        <rFont val="Arial"/>
        <family val="2"/>
      </rPr>
      <t>T</t>
    </r>
  </si>
  <si>
    <r>
      <t>mol dm</t>
    </r>
    <r>
      <rPr>
        <vertAlign val="superscript"/>
        <sz val="10"/>
        <color indexed="12"/>
        <rFont val="Arial"/>
        <family val="2"/>
      </rPr>
      <t>-3</t>
    </r>
  </si>
  <si>
    <r>
      <t>K</t>
    </r>
    <r>
      <rPr>
        <sz val="10"/>
        <rFont val="Arial"/>
        <family val="2"/>
      </rPr>
      <t>a</t>
    </r>
  </si>
  <si>
    <r>
      <t>K</t>
    </r>
    <r>
      <rPr>
        <sz val="10"/>
        <rFont val="Arial"/>
        <family val="2"/>
      </rPr>
      <t>b</t>
    </r>
  </si>
  <si>
    <r>
      <t>dm</t>
    </r>
    <r>
      <rPr>
        <b/>
        <vertAlign val="superscript"/>
        <sz val="10"/>
        <rFont val="Arial"/>
        <family val="2"/>
      </rPr>
      <t>3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</si>
  <si>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/cm</t>
    </r>
    <r>
      <rPr>
        <vertAlign val="superscript"/>
        <sz val="10"/>
        <rFont val="Arial"/>
        <family val="2"/>
      </rPr>
      <t>3</t>
    </r>
  </si>
  <si>
    <t xml:space="preserve">Dati acido  debole da titolare </t>
  </si>
  <si>
    <t>Dato base forte titolante</t>
  </si>
  <si>
    <r>
      <t>dm</t>
    </r>
    <r>
      <rPr>
        <vertAlign val="superscript"/>
        <sz val="10"/>
        <color indexed="10"/>
        <rFont val="Arial"/>
        <family val="2"/>
      </rPr>
      <t>3</t>
    </r>
  </si>
  <si>
    <r>
      <t>mol dm</t>
    </r>
    <r>
      <rPr>
        <vertAlign val="superscript"/>
        <sz val="10"/>
        <color indexed="10"/>
        <rFont val="Arial"/>
        <family val="2"/>
      </rPr>
      <t>-3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</si>
  <si>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</si>
  <si>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(</t>
    </r>
    <r>
      <rPr>
        <b/>
        <i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+V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</si>
  <si>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t>Acido debole</t>
  </si>
  <si>
    <t>Titolazione di acido debole HA con base forte DOH</t>
  </si>
  <si>
    <t xml:space="preserve">Dati acido  forte da titolare </t>
  </si>
  <si>
    <t>ACIDO FORTE</t>
  </si>
  <si>
    <t>BASE FORTE</t>
  </si>
  <si>
    <t>+ base debole</t>
  </si>
  <si>
    <t>coniugata</t>
  </si>
  <si>
    <t>punto di semititolazione</t>
  </si>
  <si>
    <r>
      <t>c</t>
    </r>
    <r>
      <rPr>
        <b/>
        <vertAlign val="subscript"/>
        <sz val="10"/>
        <rFont val="Arial"/>
        <family val="2"/>
      </rPr>
      <t>af</t>
    </r>
    <r>
      <rPr>
        <vertAlign val="subscript"/>
        <sz val="10"/>
        <rFont val="Arial"/>
        <family val="2"/>
      </rPr>
      <t xml:space="preserve"> 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</si>
  <si>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bf   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</si>
  <si>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ACIDO DEBOLE</t>
  </si>
  <si>
    <t>(SOLUZIONE TAMPONE)</t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</si>
  <si>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pKa</t>
    </r>
  </si>
  <si>
    <r>
      <t>c</t>
    </r>
    <r>
      <rPr>
        <b/>
        <vertAlign val="subscript"/>
        <sz val="10"/>
        <rFont val="Arial"/>
        <family val="2"/>
      </rPr>
      <t>ad</t>
    </r>
    <r>
      <rPr>
        <vertAlign val="subscript"/>
        <sz val="10"/>
        <rFont val="Arial"/>
        <family val="2"/>
      </rPr>
      <t xml:space="preserve">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</si>
  <si>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bd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</si>
  <si>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bf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</si>
  <si>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 xml:space="preserve">BASE DEBOLE       </t>
    </r>
    <r>
      <rPr>
        <b/>
        <sz val="10"/>
        <rFont val="Arial Narrow"/>
        <family val="2"/>
      </rPr>
      <t>(punto di equivalenza)</t>
    </r>
  </si>
  <si>
    <t>1. Titolazione di acido forte HC con base forte DOH</t>
  </si>
  <si>
    <r>
      <t>Titolazione di acido debole 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 con base forte DOH</t>
    </r>
  </si>
  <si>
    <t>(SOLUZIONE TAMPONE 1)</t>
  </si>
  <si>
    <t xml:space="preserve">I p.e. a </t>
  </si>
  <si>
    <r>
      <t>c</t>
    </r>
    <r>
      <rPr>
        <b/>
        <vertAlign val="subscript"/>
        <sz val="10"/>
        <rFont val="Arial"/>
        <family val="2"/>
      </rPr>
      <t>H2A</t>
    </r>
    <r>
      <rPr>
        <vertAlign val="subscript"/>
        <sz val="10"/>
        <rFont val="Arial"/>
        <family val="2"/>
      </rPr>
      <t xml:space="preserve">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</si>
  <si>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HA-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</si>
  <si>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A=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</si>
  <si>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ACIDO DEBOLE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A</t>
    </r>
  </si>
  <si>
    <r>
      <t>Acido debole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A</t>
    </r>
  </si>
  <si>
    <r>
      <t>+ base debole coniugata HA</t>
    </r>
    <r>
      <rPr>
        <vertAlign val="superscript"/>
        <sz val="10"/>
        <rFont val="Arial Narrow"/>
        <family val="2"/>
      </rPr>
      <t>-</t>
    </r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</si>
  <si>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</t>
    </r>
    <r>
      <rPr>
        <i/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a1</t>
    </r>
  </si>
  <si>
    <r>
      <t>SALE ACIDO ANFIPROTICO HA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>(I punto di equivalenza)</t>
    </r>
  </si>
  <si>
    <t>I punto di semititolazione</t>
  </si>
  <si>
    <r>
      <t>Acido debole HA</t>
    </r>
    <r>
      <rPr>
        <vertAlign val="superscript"/>
        <sz val="10"/>
        <rFont val="Arial Narrow"/>
        <family val="2"/>
      </rPr>
      <t>-</t>
    </r>
  </si>
  <si>
    <r>
      <t>+ base debole coniugata A</t>
    </r>
    <r>
      <rPr>
        <vertAlign val="superscript"/>
        <sz val="10"/>
        <rFont val="Arial Narrow"/>
        <family val="2"/>
      </rPr>
      <t>=</t>
    </r>
  </si>
  <si>
    <t>(SOLUZIONE TAMPONE 2)</t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</si>
  <si>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</t>
    </r>
    <r>
      <rPr>
        <i/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a2</t>
    </r>
  </si>
  <si>
    <t>II punto di semititolazione</t>
  </si>
  <si>
    <r>
      <t>(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+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</si>
  <si>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BASE DEBOLE A</t>
    </r>
    <r>
      <rPr>
        <vertAlign val="superscript"/>
        <sz val="10"/>
        <rFont val="Arial Narrow"/>
        <family val="2"/>
      </rPr>
      <t>=</t>
    </r>
  </si>
  <si>
    <r>
      <t>c</t>
    </r>
    <r>
      <rPr>
        <vertAlign val="subscript"/>
        <sz val="10"/>
        <color indexed="14"/>
        <rFont val="Arial"/>
        <family val="2"/>
      </rPr>
      <t>0</t>
    </r>
  </si>
  <si>
    <r>
      <t>mol dm</t>
    </r>
    <r>
      <rPr>
        <vertAlign val="superscript"/>
        <sz val="10"/>
        <color indexed="14"/>
        <rFont val="Arial"/>
        <family val="2"/>
      </rPr>
      <t>-3</t>
    </r>
  </si>
  <si>
    <r>
      <t>V</t>
    </r>
    <r>
      <rPr>
        <vertAlign val="subscript"/>
        <sz val="10"/>
        <color indexed="14"/>
        <rFont val="Arial"/>
        <family val="2"/>
      </rPr>
      <t>0</t>
    </r>
  </si>
  <si>
    <r>
      <t>dm</t>
    </r>
    <r>
      <rPr>
        <vertAlign val="superscript"/>
        <sz val="10"/>
        <color indexed="14"/>
        <rFont val="Arial"/>
        <family val="2"/>
      </rPr>
      <t>3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</si>
  <si>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</t>
    </r>
  </si>
  <si>
    <r>
      <t>H</t>
    </r>
    <r>
      <rPr>
        <b/>
        <vertAlign val="superscript"/>
        <sz val="10"/>
        <rFont val="Arial"/>
        <family val="2"/>
      </rPr>
      <t>+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</si>
  <si>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</si>
  <si>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</si>
  <si>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</si>
  <si>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0</t>
    </r>
  </si>
  <si>
    <t>Eventuale volume aggiuntivo per immersione elettrodi</t>
  </si>
  <si>
    <r>
      <t>V</t>
    </r>
    <r>
      <rPr>
        <vertAlign val="subscript"/>
        <sz val="10"/>
        <rFont val="Arial"/>
        <family val="2"/>
      </rPr>
      <t>agg</t>
    </r>
  </si>
  <si>
    <r>
      <t>(</t>
    </r>
    <r>
      <rPr>
        <b/>
        <i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2"/>
      </rPr>
      <t>[+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agg</t>
    </r>
    <r>
      <rPr>
        <sz val="10"/>
        <rFont val="Arial"/>
        <family val="2"/>
      </rPr>
      <t>]</t>
    </r>
    <r>
      <rPr>
        <b/>
        <i/>
        <sz val="10"/>
        <rFont val="Arial"/>
        <family val="2"/>
      </rPr>
      <t>+V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</si>
  <si>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3</t>
    </r>
  </si>
  <si>
    <t>Frazioni all'equilibrio delle quattro forme dell'acido</t>
  </si>
  <si>
    <r>
      <t>H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A</t>
    </r>
  </si>
  <si>
    <r>
      <t>H</t>
    </r>
    <r>
      <rPr>
        <b/>
        <vertAlign val="subscript"/>
        <sz val="10"/>
        <color indexed="52"/>
        <rFont val="Arial"/>
        <family val="2"/>
      </rPr>
      <t>2</t>
    </r>
    <r>
      <rPr>
        <b/>
        <sz val="10"/>
        <color indexed="52"/>
        <rFont val="Arial"/>
        <family val="2"/>
      </rPr>
      <t>A</t>
    </r>
    <r>
      <rPr>
        <b/>
        <vertAlign val="superscript"/>
        <sz val="10"/>
        <color indexed="52"/>
        <rFont val="Arial"/>
        <family val="2"/>
      </rPr>
      <t>-</t>
    </r>
  </si>
  <si>
    <r>
      <t>HA</t>
    </r>
    <r>
      <rPr>
        <b/>
        <vertAlign val="superscript"/>
        <sz val="10"/>
        <color indexed="50"/>
        <rFont val="Arial"/>
        <family val="2"/>
      </rPr>
      <t>=</t>
    </r>
  </si>
  <si>
    <r>
      <t>A</t>
    </r>
    <r>
      <rPr>
        <b/>
        <vertAlign val="superscript"/>
        <sz val="10"/>
        <color indexed="12"/>
        <rFont val="Arial"/>
        <family val="2"/>
      </rPr>
      <t>3-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</si>
  <si>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a1</t>
    </r>
  </si>
  <si>
    <r>
      <t>K</t>
    </r>
    <r>
      <rPr>
        <vertAlign val="subscript"/>
        <sz val="10"/>
        <rFont val="Arial"/>
        <family val="2"/>
      </rPr>
      <t>a1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</si>
  <si>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a2</t>
    </r>
  </si>
  <si>
    <r>
      <t>K</t>
    </r>
    <r>
      <rPr>
        <vertAlign val="subscript"/>
        <sz val="10"/>
        <rFont val="Arial"/>
        <family val="2"/>
      </rPr>
      <t>a2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</si>
  <si>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a3</t>
    </r>
  </si>
  <si>
    <r>
      <t>K</t>
    </r>
    <r>
      <rPr>
        <vertAlign val="subscript"/>
        <sz val="10"/>
        <rFont val="Arial"/>
        <family val="2"/>
      </rPr>
      <t>a3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</si>
  <si>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A</t>
    </r>
  </si>
  <si>
    <r>
      <t>A</t>
    </r>
    <r>
      <rPr>
        <b/>
        <vertAlign val="superscript"/>
        <sz val="10"/>
        <color indexed="12"/>
        <rFont val="Arial"/>
        <family val="2"/>
      </rPr>
      <t>=</t>
    </r>
  </si>
  <si>
    <t>Frazioni all'equilibrio delle tre forme dell'acido</t>
  </si>
  <si>
    <r>
      <t>HA</t>
    </r>
    <r>
      <rPr>
        <b/>
        <vertAlign val="superscript"/>
        <sz val="10"/>
        <color indexed="50"/>
        <rFont val="Arial"/>
        <family val="2"/>
      </rPr>
      <t>-</t>
    </r>
  </si>
  <si>
    <t>Frazioni all'equilibrio delle due forme dell'acido</t>
  </si>
  <si>
    <t>Diagramma di speciazione di acido triprotico</t>
  </si>
  <si>
    <t>Diagramma di speciazione di acido biprotico</t>
  </si>
  <si>
    <t>Diagramma di speciazione di acido monoprotico</t>
  </si>
  <si>
    <r>
      <t xml:space="preserve">ACQUA (NEUTRALITA', pH 7):      </t>
    </r>
    <r>
      <rPr>
        <b/>
        <sz val="10"/>
        <rFont val="Arial Narrow"/>
        <family val="2"/>
      </rPr>
      <t>punto di equivalenza</t>
    </r>
  </si>
  <si>
    <r>
      <t>con</t>
    </r>
    <r>
      <rPr>
        <i/>
        <sz val="10"/>
        <rFont val="Arial"/>
        <family val="2"/>
      </rPr>
      <t xml:space="preserve"> K</t>
    </r>
    <r>
      <rPr>
        <sz val="10"/>
        <rFont val="Arial"/>
        <family val="0"/>
      </rPr>
      <t xml:space="preserve">a = </t>
    </r>
    <r>
      <rPr>
        <i/>
        <sz val="10"/>
        <rFont val="Arial"/>
        <family val="2"/>
      </rPr>
      <t>K</t>
    </r>
    <r>
      <rPr>
        <sz val="10"/>
        <rFont val="Arial"/>
        <family val="0"/>
      </rPr>
      <t>a,1</t>
    </r>
  </si>
  <si>
    <r>
      <t xml:space="preserve">con 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b,2</t>
    </r>
  </si>
  <si>
    <r>
      <t>c</t>
    </r>
    <r>
      <rPr>
        <vertAlign val="subscript"/>
        <sz val="10"/>
        <rFont val="Times New Roman"/>
        <family val="1"/>
      </rPr>
      <t xml:space="preserve">0a </t>
    </r>
    <r>
      <rPr>
        <sz val="10"/>
        <rFont val="Times New Roman"/>
        <family val="1"/>
      </rPr>
      <t>= (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Symbol"/>
        <family val="1"/>
      </rPr>
      <t>-</t>
    </r>
    <r>
      <rPr>
        <i/>
        <sz val="10"/>
        <rFont val="Times New Roman"/>
        <family val="1"/>
      </rPr>
      <t xml:space="preserve"> 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</si>
  <si>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 xml:space="preserve">0b </t>
    </r>
    <r>
      <rPr>
        <sz val="10"/>
        <rFont val="Times New Roman"/>
        <family val="1"/>
      </rPr>
      <t xml:space="preserve">=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</si>
  <si>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0S</t>
    </r>
    <r>
      <rPr>
        <sz val="10"/>
        <rFont val="Times New Roman"/>
        <family val="1"/>
      </rPr>
      <t>=</t>
    </r>
    <r>
      <rPr>
        <i/>
        <sz val="10"/>
        <rFont val="Times New Roman"/>
        <family val="1"/>
      </rPr>
      <t xml:space="preserve"> 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</si>
  <si>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 xml:space="preserve">0a </t>
    </r>
    <r>
      <rPr>
        <sz val="10"/>
        <rFont val="Times New Roman"/>
        <family val="1"/>
      </rPr>
      <t>= (2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Symbol"/>
        <family val="1"/>
      </rPr>
      <t>-</t>
    </r>
    <r>
      <rPr>
        <i/>
        <sz val="10"/>
        <rFont val="Times New Roman"/>
        <family val="1"/>
      </rPr>
      <t xml:space="preserve"> 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</si>
  <si>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0bd</t>
    </r>
    <r>
      <rPr>
        <sz val="10"/>
        <rFont val="Times New Roman"/>
        <family val="1"/>
      </rPr>
      <t>=</t>
    </r>
    <r>
      <rPr>
        <i/>
        <sz val="10"/>
        <rFont val="Times New Roman"/>
        <family val="1"/>
      </rPr>
      <t xml:space="preserve"> 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/[2(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)]</t>
    </r>
  </si>
  <si>
    <r>
      <t>c</t>
    </r>
    <r>
      <rPr>
        <vertAlign val="subscript"/>
        <sz val="10"/>
        <rFont val="Times New Roman"/>
        <family val="1"/>
      </rPr>
      <t>0BF</t>
    </r>
    <r>
      <rPr>
        <sz val="10"/>
        <rFont val="Times New Roman"/>
        <family val="1"/>
      </rPr>
      <t xml:space="preserve"> = (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 xml:space="preserve">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>2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)/ 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) </t>
    </r>
  </si>
  <si>
    <r>
      <t>c</t>
    </r>
    <r>
      <rPr>
        <vertAlign val="subscript"/>
        <sz val="10"/>
        <rFont val="Times New Roman"/>
        <family val="1"/>
      </rPr>
      <t>0BD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/ 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</si>
  <si>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 xml:space="preserve">0b </t>
    </r>
    <r>
      <rPr>
        <sz val="10"/>
        <rFont val="Times New Roman"/>
        <family val="1"/>
      </rPr>
      <t>= (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T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)/(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</si>
</sst>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E+00"/>
    <numFmt numFmtId="177" formatCode="0.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E+00"/>
    <numFmt numFmtId="187" formatCode="0.000E+00"/>
    <numFmt numFmtId="188" formatCode="0.00000E+00"/>
    <numFmt numFmtId="189" formatCode="0.0000E+00"/>
  </numFmts>
  <fonts count="78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0"/>
      <name val="Arial"/>
      <family val="0"/>
    </font>
    <font>
      <i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indexed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9.75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b/>
      <vertAlign val="superscript"/>
      <sz val="11.5"/>
      <name val="Arial"/>
      <family val="2"/>
    </font>
    <font>
      <sz val="10"/>
      <name val="Symbol"/>
      <family val="1"/>
    </font>
    <font>
      <b/>
      <sz val="10"/>
      <name val="Arial Narrow"/>
      <family val="2"/>
    </font>
    <font>
      <b/>
      <i/>
      <sz val="11.5"/>
      <name val="Arial"/>
      <family val="2"/>
    </font>
    <font>
      <b/>
      <sz val="13.5"/>
      <name val="Times New Roman"/>
      <family val="1"/>
    </font>
    <font>
      <sz val="11.75"/>
      <name val="Times New Roman"/>
      <family val="1"/>
    </font>
    <font>
      <b/>
      <i/>
      <sz val="13.5"/>
      <name val="Times New Roman"/>
      <family val="1"/>
    </font>
    <font>
      <b/>
      <vertAlign val="subscript"/>
      <sz val="13.5"/>
      <name val="Times New Roman"/>
      <family val="1"/>
    </font>
    <font>
      <b/>
      <vertAlign val="superscript"/>
      <sz val="13.5"/>
      <name val="Times New Roman"/>
      <family val="1"/>
    </font>
    <font>
      <b/>
      <sz val="13.5"/>
      <color indexed="10"/>
      <name val="Arial Narrow"/>
      <family val="2"/>
    </font>
    <font>
      <b/>
      <sz val="14"/>
      <color indexed="10"/>
      <name val="Symbol"/>
      <family val="1"/>
    </font>
    <font>
      <b/>
      <sz val="14"/>
      <color indexed="10"/>
      <name val="Arial Narrow"/>
      <family val="2"/>
    </font>
    <font>
      <b/>
      <vertAlign val="subscript"/>
      <sz val="14"/>
      <color indexed="10"/>
      <name val="Arial Narrow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8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Arial"/>
      <family val="2"/>
    </font>
    <font>
      <sz val="9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2"/>
      <name val="Arial"/>
      <family val="2"/>
    </font>
    <font>
      <b/>
      <vertAlign val="subscript"/>
      <sz val="10"/>
      <color indexed="52"/>
      <name val="Arial"/>
      <family val="2"/>
    </font>
    <font>
      <b/>
      <vertAlign val="superscript"/>
      <sz val="10"/>
      <color indexed="52"/>
      <name val="Arial"/>
      <family val="2"/>
    </font>
    <font>
      <b/>
      <sz val="10"/>
      <color indexed="50"/>
      <name val="Arial"/>
      <family val="2"/>
    </font>
    <font>
      <b/>
      <vertAlign val="superscript"/>
      <sz val="10"/>
      <color indexed="50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1.75"/>
      <name val="Arial"/>
      <family val="2"/>
    </font>
    <font>
      <b/>
      <vertAlign val="subscript"/>
      <sz val="11.75"/>
      <name val="Arial"/>
      <family val="2"/>
    </font>
    <font>
      <b/>
      <sz val="11.75"/>
      <name val="Arial"/>
      <family val="2"/>
    </font>
    <font>
      <b/>
      <vertAlign val="superscript"/>
      <sz val="11.75"/>
      <name val="Arial"/>
      <family val="2"/>
    </font>
    <font>
      <sz val="5.5"/>
      <name val="Arial"/>
      <family val="0"/>
    </font>
    <font>
      <b/>
      <i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9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2" fillId="0" borderId="1" xfId="0" applyFont="1" applyBorder="1" applyAlignment="1">
      <alignment/>
    </xf>
    <xf numFmtId="11" fontId="0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11" fontId="0" fillId="0" borderId="8" xfId="0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3" borderId="11" xfId="0" applyFont="1" applyFill="1" applyBorder="1" applyAlignment="1">
      <alignment horizontal="center" wrapText="1"/>
    </xf>
    <xf numFmtId="170" fontId="0" fillId="0" borderId="4" xfId="0" applyNumberFormat="1" applyFill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0" fontId="0" fillId="0" borderId="5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11" fontId="0" fillId="4" borderId="4" xfId="0" applyNumberFormat="1" applyFill="1" applyBorder="1" applyAlignment="1">
      <alignment horizontal="center"/>
    </xf>
    <xf numFmtId="11" fontId="0" fillId="0" borderId="5" xfId="0" applyNumberFormat="1" applyFill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1" fontId="0" fillId="3" borderId="7" xfId="0" applyNumberForma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1" fontId="6" fillId="0" borderId="4" xfId="0" applyNumberFormat="1" applyFon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29" fillId="0" borderId="5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170" fontId="29" fillId="0" borderId="1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0" fontId="29" fillId="0" borderId="4" xfId="0" applyNumberFormat="1" applyFont="1" applyFill="1" applyBorder="1" applyAlignment="1">
      <alignment horizontal="center"/>
    </xf>
    <xf numFmtId="177" fontId="29" fillId="3" borderId="5" xfId="0" applyNumberFormat="1" applyFont="1" applyFill="1" applyBorder="1" applyAlignment="1">
      <alignment horizontal="center"/>
    </xf>
    <xf numFmtId="172" fontId="29" fillId="3" borderId="12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171" fontId="29" fillId="0" borderId="7" xfId="0" applyNumberFormat="1" applyFont="1" applyFill="1" applyBorder="1" applyAlignment="1">
      <alignment horizontal="center"/>
    </xf>
    <xf numFmtId="170" fontId="29" fillId="0" borderId="7" xfId="0" applyNumberFormat="1" applyFont="1" applyFill="1" applyBorder="1" applyAlignment="1">
      <alignment horizontal="center"/>
    </xf>
    <xf numFmtId="170" fontId="29" fillId="0" borderId="6" xfId="0" applyNumberFormat="1" applyFont="1" applyFill="1" applyBorder="1" applyAlignment="1">
      <alignment horizontal="center"/>
    </xf>
    <xf numFmtId="177" fontId="29" fillId="3" borderId="8" xfId="0" applyNumberFormat="1" applyFont="1" applyFill="1" applyBorder="1" applyAlignment="1">
      <alignment horizontal="center"/>
    </xf>
    <xf numFmtId="172" fontId="29" fillId="3" borderId="14" xfId="0" applyNumberFormat="1" applyFont="1" applyFill="1" applyBorder="1" applyAlignment="1">
      <alignment horizontal="center"/>
    </xf>
    <xf numFmtId="11" fontId="29" fillId="0" borderId="0" xfId="0" applyNumberFormat="1" applyFont="1" applyFill="1" applyBorder="1" applyAlignment="1">
      <alignment horizontal="center"/>
    </xf>
    <xf numFmtId="11" fontId="29" fillId="0" borderId="10" xfId="0" applyNumberFormat="1" applyFont="1" applyFill="1" applyBorder="1" applyAlignment="1">
      <alignment horizontal="center"/>
    </xf>
    <xf numFmtId="11" fontId="35" fillId="0" borderId="10" xfId="0" applyNumberFormat="1" applyFont="1" applyFill="1" applyBorder="1" applyAlignment="1">
      <alignment horizontal="center"/>
    </xf>
    <xf numFmtId="11" fontId="29" fillId="0" borderId="7" xfId="0" applyNumberFormat="1" applyFont="1" applyFill="1" applyBorder="1" applyAlignment="1">
      <alignment horizontal="center"/>
    </xf>
    <xf numFmtId="2" fontId="29" fillId="6" borderId="12" xfId="0" applyNumberFormat="1" applyFont="1" applyFill="1" applyBorder="1" applyAlignment="1">
      <alignment horizontal="center"/>
    </xf>
    <xf numFmtId="2" fontId="35" fillId="6" borderId="13" xfId="0" applyNumberFormat="1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11" fontId="6" fillId="0" borderId="9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171" fontId="35" fillId="0" borderId="10" xfId="0" applyNumberFormat="1" applyFont="1" applyFill="1" applyBorder="1" applyAlignment="1">
      <alignment horizontal="center" vertical="center"/>
    </xf>
    <xf numFmtId="170" fontId="35" fillId="0" borderId="10" xfId="0" applyNumberFormat="1" applyFont="1" applyFill="1" applyBorder="1" applyAlignment="1">
      <alignment horizontal="center" vertical="center"/>
    </xf>
    <xf numFmtId="11" fontId="35" fillId="0" borderId="10" xfId="0" applyNumberFormat="1" applyFont="1" applyFill="1" applyBorder="1" applyAlignment="1">
      <alignment horizontal="center" vertical="center"/>
    </xf>
    <xf numFmtId="2" fontId="35" fillId="2" borderId="13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29" fillId="2" borderId="0" xfId="0" applyNumberFormat="1" applyFont="1" applyFill="1" applyBorder="1" applyAlignment="1">
      <alignment horizontal="center"/>
    </xf>
    <xf numFmtId="171" fontId="29" fillId="2" borderId="7" xfId="0" applyNumberFormat="1" applyFont="1" applyFill="1" applyBorder="1" applyAlignment="1">
      <alignment horizontal="center"/>
    </xf>
    <xf numFmtId="171" fontId="29" fillId="7" borderId="4" xfId="0" applyNumberFormat="1" applyFont="1" applyFill="1" applyBorder="1" applyAlignment="1">
      <alignment horizontal="center"/>
    </xf>
    <xf numFmtId="11" fontId="0" fillId="0" borderId="3" xfId="0" applyNumberFormat="1" applyBorder="1" applyAlignment="1">
      <alignment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171" fontId="29" fillId="8" borderId="0" xfId="0" applyNumberFormat="1" applyFont="1" applyFill="1" applyBorder="1" applyAlignment="1">
      <alignment horizontal="center"/>
    </xf>
    <xf numFmtId="171" fontId="35" fillId="8" borderId="10" xfId="0" applyNumberFormat="1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1" fontId="29" fillId="0" borderId="10" xfId="0" applyNumberFormat="1" applyFont="1" applyFill="1" applyBorder="1" applyAlignment="1">
      <alignment horizontal="center"/>
    </xf>
    <xf numFmtId="170" fontId="29" fillId="0" borderId="9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/>
    </xf>
    <xf numFmtId="2" fontId="35" fillId="8" borderId="13" xfId="0" applyNumberFormat="1" applyFont="1" applyFill="1" applyBorder="1" applyAlignment="1">
      <alignment horizontal="center" vertical="center"/>
    </xf>
    <xf numFmtId="2" fontId="29" fillId="9" borderId="12" xfId="0" applyNumberFormat="1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 vertical="center" wrapText="1"/>
    </xf>
    <xf numFmtId="170" fontId="29" fillId="0" borderId="12" xfId="0" applyNumberFormat="1" applyFont="1" applyFill="1" applyBorder="1" applyAlignment="1">
      <alignment horizontal="center"/>
    </xf>
    <xf numFmtId="170" fontId="29" fillId="0" borderId="13" xfId="0" applyNumberFormat="1" applyFont="1" applyFill="1" applyBorder="1" applyAlignment="1">
      <alignment horizontal="center"/>
    </xf>
    <xf numFmtId="171" fontId="35" fillId="0" borderId="13" xfId="0" applyNumberFormat="1" applyFont="1" applyFill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/>
    </xf>
    <xf numFmtId="171" fontId="29" fillId="0" borderId="13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71" fontId="29" fillId="2" borderId="5" xfId="0" applyNumberFormat="1" applyFont="1" applyFill="1" applyBorder="1" applyAlignment="1">
      <alignment horizontal="center"/>
    </xf>
    <xf numFmtId="171" fontId="29" fillId="2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171" fontId="35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2" fontId="35" fillId="7" borderId="13" xfId="0" applyNumberFormat="1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2" fontId="29" fillId="6" borderId="15" xfId="0" applyNumberFormat="1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5" xfId="0" applyFont="1" applyFill="1" applyBorder="1" applyAlignment="1" quotePrefix="1">
      <alignment horizontal="center"/>
    </xf>
    <xf numFmtId="0" fontId="29" fillId="6" borderId="5" xfId="0" applyFont="1" applyFill="1" applyBorder="1" applyAlignment="1">
      <alignment horizontal="center"/>
    </xf>
    <xf numFmtId="2" fontId="29" fillId="6" borderId="14" xfId="0" applyNumberFormat="1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170" fontId="29" fillId="0" borderId="1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>
      <alignment horizontal="center"/>
    </xf>
    <xf numFmtId="171" fontId="29" fillId="2" borderId="2" xfId="0" applyNumberFormat="1" applyFont="1" applyFill="1" applyBorder="1" applyAlignment="1">
      <alignment horizontal="center"/>
    </xf>
    <xf numFmtId="171" fontId="29" fillId="0" borderId="1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1" fontId="35" fillId="0" borderId="2" xfId="0" applyNumberFormat="1" applyFont="1" applyFill="1" applyBorder="1" applyAlignment="1">
      <alignment horizontal="center" vertical="center"/>
    </xf>
    <xf numFmtId="11" fontId="29" fillId="0" borderId="3" xfId="0" applyNumberFormat="1" applyFont="1" applyFill="1" applyBorder="1" applyAlignment="1">
      <alignment horizontal="center"/>
    </xf>
    <xf numFmtId="11" fontId="29" fillId="0" borderId="5" xfId="0" applyNumberFormat="1" applyFont="1" applyFill="1" applyBorder="1" applyAlignment="1">
      <alignment horizontal="center"/>
    </xf>
    <xf numFmtId="11" fontId="29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9" fillId="0" borderId="15" xfId="0" applyNumberFormat="1" applyFont="1" applyFill="1" applyBorder="1" applyAlignment="1">
      <alignment horizontal="center" vertical="center"/>
    </xf>
    <xf numFmtId="171" fontId="29" fillId="9" borderId="1" xfId="0" applyNumberFormat="1" applyFont="1" applyFill="1" applyBorder="1" applyAlignment="1">
      <alignment horizontal="center"/>
    </xf>
    <xf numFmtId="171" fontId="29" fillId="9" borderId="4" xfId="0" applyNumberFormat="1" applyFont="1" applyFill="1" applyBorder="1" applyAlignment="1">
      <alignment horizontal="center"/>
    </xf>
    <xf numFmtId="171" fontId="29" fillId="9" borderId="6" xfId="0" applyNumberFormat="1" applyFont="1" applyFill="1" applyBorder="1" applyAlignment="1">
      <alignment horizontal="center"/>
    </xf>
    <xf numFmtId="11" fontId="29" fillId="0" borderId="1" xfId="0" applyNumberFormat="1" applyFont="1" applyFill="1" applyBorder="1" applyAlignment="1">
      <alignment horizontal="center"/>
    </xf>
    <xf numFmtId="11" fontId="29" fillId="0" borderId="4" xfId="0" applyNumberFormat="1" applyFont="1" applyFill="1" applyBorder="1" applyAlignment="1">
      <alignment horizontal="center"/>
    </xf>
    <xf numFmtId="11" fontId="29" fillId="0" borderId="6" xfId="0" applyNumberFormat="1" applyFont="1" applyFill="1" applyBorder="1" applyAlignment="1">
      <alignment horizontal="center"/>
    </xf>
    <xf numFmtId="11" fontId="29" fillId="0" borderId="10" xfId="0" applyNumberFormat="1" applyFont="1" applyFill="1" applyBorder="1" applyAlignment="1">
      <alignment horizontal="center" vertical="center"/>
    </xf>
    <xf numFmtId="171" fontId="35" fillId="7" borderId="9" xfId="0" applyNumberFormat="1" applyFont="1" applyFill="1" applyBorder="1" applyAlignment="1">
      <alignment horizontal="center"/>
    </xf>
    <xf numFmtId="171" fontId="35" fillId="8" borderId="10" xfId="0" applyNumberFormat="1" applyFont="1" applyFill="1" applyBorder="1" applyAlignment="1">
      <alignment horizontal="center"/>
    </xf>
    <xf numFmtId="171" fontId="35" fillId="2" borderId="10" xfId="0" applyNumberFormat="1" applyFont="1" applyFill="1" applyBorder="1" applyAlignment="1">
      <alignment horizontal="center"/>
    </xf>
    <xf numFmtId="171" fontId="35" fillId="2" borderId="2" xfId="0" applyNumberFormat="1" applyFont="1" applyFill="1" applyBorder="1" applyAlignment="1">
      <alignment horizontal="center" vertical="center"/>
    </xf>
    <xf numFmtId="171" fontId="35" fillId="7" borderId="4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11" fontId="29" fillId="0" borderId="2" xfId="0" applyNumberFormat="1" applyFont="1" applyFill="1" applyBorder="1" applyAlignment="1">
      <alignment horizontal="center" vertical="center"/>
    </xf>
    <xf numFmtId="2" fontId="29" fillId="9" borderId="15" xfId="0" applyNumberFormat="1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9" borderId="5" xfId="0" applyFont="1" applyFill="1" applyBorder="1" applyAlignment="1">
      <alignment horizontal="center"/>
    </xf>
    <xf numFmtId="2" fontId="29" fillId="9" borderId="14" xfId="0" applyNumberFormat="1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11" fontId="0" fillId="0" borderId="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9" fillId="0" borderId="1" xfId="0" applyFont="1" applyBorder="1" applyAlignment="1">
      <alignment horizontal="left"/>
    </xf>
    <xf numFmtId="0" fontId="47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170" fontId="29" fillId="0" borderId="16" xfId="0" applyNumberFormat="1" applyFont="1" applyFill="1" applyBorder="1" applyAlignment="1">
      <alignment horizontal="center"/>
    </xf>
    <xf numFmtId="170" fontId="29" fillId="0" borderId="17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171" fontId="35" fillId="2" borderId="17" xfId="0" applyNumberFormat="1" applyFont="1" applyFill="1" applyBorder="1" applyAlignment="1">
      <alignment horizontal="center"/>
    </xf>
    <xf numFmtId="11" fontId="29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1" fontId="0" fillId="0" borderId="4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0" fillId="0" borderId="6" xfId="0" applyNumberForma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9" fillId="0" borderId="9" xfId="0" applyFont="1" applyBorder="1" applyAlignment="1">
      <alignment horizontal="center"/>
    </xf>
    <xf numFmtId="0" fontId="61" fillId="0" borderId="9" xfId="0" applyFont="1" applyBorder="1" applyAlignment="1">
      <alignment horizontal="center"/>
    </xf>
    <xf numFmtId="0" fontId="64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10" borderId="13" xfId="0" applyFill="1" applyBorder="1" applyAlignment="1">
      <alignment/>
    </xf>
    <xf numFmtId="0" fontId="53" fillId="0" borderId="13" xfId="0" applyFont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11" fontId="0" fillId="2" borderId="8" xfId="0" applyNumberFormat="1" applyFont="1" applyFill="1" applyBorder="1" applyAlignment="1">
      <alignment/>
    </xf>
    <xf numFmtId="2" fontId="29" fillId="8" borderId="12" xfId="0" applyNumberFormat="1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wrapText="1"/>
    </xf>
    <xf numFmtId="171" fontId="35" fillId="7" borderId="19" xfId="0" applyNumberFormat="1" applyFont="1" applyFill="1" applyBorder="1" applyAlignment="1">
      <alignment horizontal="center"/>
    </xf>
    <xf numFmtId="2" fontId="35" fillId="7" borderId="12" xfId="0" applyNumberFormat="1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29" fillId="8" borderId="12" xfId="0" applyFont="1" applyFill="1" applyBorder="1" applyAlignment="1" quotePrefix="1">
      <alignment horizontal="center"/>
    </xf>
    <xf numFmtId="0" fontId="29" fillId="8" borderId="12" xfId="0" applyFont="1" applyFill="1" applyBorder="1" applyAlignment="1">
      <alignment/>
    </xf>
    <xf numFmtId="2" fontId="35" fillId="8" borderId="19" xfId="0" applyNumberFormat="1" applyFont="1" applyFill="1" applyBorder="1" applyAlignment="1">
      <alignment horizontal="center"/>
    </xf>
    <xf numFmtId="0" fontId="35" fillId="8" borderId="20" xfId="0" applyFont="1" applyFill="1" applyBorder="1" applyAlignment="1">
      <alignment horizontal="center"/>
    </xf>
    <xf numFmtId="2" fontId="29" fillId="8" borderId="4" xfId="0" applyNumberFormat="1" applyFont="1" applyFill="1" applyBorder="1" applyAlignment="1">
      <alignment horizontal="center"/>
    </xf>
    <xf numFmtId="0" fontId="29" fillId="8" borderId="21" xfId="0" applyFont="1" applyFill="1" applyBorder="1" applyAlignment="1">
      <alignment horizontal="center"/>
    </xf>
    <xf numFmtId="2" fontId="29" fillId="11" borderId="15" xfId="0" applyNumberFormat="1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2" fontId="29" fillId="11" borderId="12" xfId="0" applyNumberFormat="1" applyFont="1" applyFill="1" applyBorder="1" applyAlignment="1">
      <alignment horizontal="center"/>
    </xf>
    <xf numFmtId="0" fontId="29" fillId="11" borderId="5" xfId="0" applyFont="1" applyFill="1" applyBorder="1" applyAlignment="1" quotePrefix="1">
      <alignment horizontal="center"/>
    </xf>
    <xf numFmtId="0" fontId="29" fillId="11" borderId="5" xfId="0" applyFont="1" applyFill="1" applyBorder="1" applyAlignment="1">
      <alignment horizontal="center"/>
    </xf>
    <xf numFmtId="2" fontId="35" fillId="11" borderId="9" xfId="0" applyNumberFormat="1" applyFont="1" applyFill="1" applyBorder="1" applyAlignment="1">
      <alignment horizontal="center"/>
    </xf>
    <xf numFmtId="0" fontId="35" fillId="11" borderId="15" xfId="0" applyFont="1" applyFill="1" applyBorder="1" applyAlignment="1">
      <alignment horizontal="center"/>
    </xf>
    <xf numFmtId="2" fontId="29" fillId="11" borderId="4" xfId="0" applyNumberFormat="1" applyFont="1" applyFill="1" applyBorder="1" applyAlignment="1">
      <alignment horizontal="center"/>
    </xf>
    <xf numFmtId="0" fontId="29" fillId="11" borderId="14" xfId="0" applyFont="1" applyFill="1" applyBorder="1" applyAlignment="1">
      <alignment horizontal="center"/>
    </xf>
    <xf numFmtId="0" fontId="29" fillId="11" borderId="12" xfId="0" applyFont="1" applyFill="1" applyBorder="1" applyAlignment="1">
      <alignment horizontal="center"/>
    </xf>
    <xf numFmtId="2" fontId="29" fillId="11" borderId="6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2" fontId="7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29" fillId="3" borderId="12" xfId="0" applyFont="1" applyFill="1" applyBorder="1" applyAlignment="1" quotePrefix="1">
      <alignment horizontal="center"/>
    </xf>
    <xf numFmtId="0" fontId="55" fillId="0" borderId="0" xfId="0" applyFont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45"/>
          <c:w val="0.898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'HC Forte con DOH forte'!$H$11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 Forte con DOH forte'!$A$12:$A$36</c:f>
              <c:numCache>
                <c:ptCount val="2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24.7</c:v>
                </c:pt>
                <c:pt idx="13">
                  <c:v>24.8</c:v>
                </c:pt>
                <c:pt idx="14">
                  <c:v>24.9</c:v>
                </c:pt>
                <c:pt idx="15">
                  <c:v>25.000000000000004</c:v>
                </c:pt>
                <c:pt idx="16">
                  <c:v>25.1</c:v>
                </c:pt>
                <c:pt idx="17">
                  <c:v>25.2</c:v>
                </c:pt>
                <c:pt idx="18">
                  <c:v>25.5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30</c:v>
                </c:pt>
              </c:numCache>
            </c:numRef>
          </c:xVal>
          <c:yVal>
            <c:numRef>
              <c:f>'HC Forte con DOH forte'!$H$12:$H$36</c:f>
              <c:numCache>
                <c:ptCount val="25"/>
                <c:pt idx="0">
                  <c:v>0.9999999999999999</c:v>
                </c:pt>
                <c:pt idx="1">
                  <c:v>1.0871501757189002</c:v>
                </c:pt>
                <c:pt idx="2">
                  <c:v>1.1760912590556811</c:v>
                </c:pt>
                <c:pt idx="3">
                  <c:v>1.2688453122925798</c:v>
                </c:pt>
                <c:pt idx="4">
                  <c:v>1.3679767852945943</c:v>
                </c:pt>
                <c:pt idx="5">
                  <c:v>1.4771212547196624</c:v>
                </c:pt>
                <c:pt idx="6">
                  <c:v>1.6020599913279623</c:v>
                </c:pt>
                <c:pt idx="7">
                  <c:v>1.7533276666586115</c:v>
                </c:pt>
                <c:pt idx="8">
                  <c:v>1.9542425094393245</c:v>
                </c:pt>
                <c:pt idx="9">
                  <c:v>2.278753600952828</c:v>
                </c:pt>
                <c:pt idx="10">
                  <c:v>2.6901960800285125</c:v>
                </c:pt>
                <c:pt idx="11">
                  <c:v>2.995635194597549</c:v>
                </c:pt>
                <c:pt idx="12">
                  <c:v>3.2192351340136622</c:v>
                </c:pt>
                <c:pt idx="13">
                  <c:v>3.3961993470957257</c:v>
                </c:pt>
                <c:pt idx="14">
                  <c:v>3.6981005456233698</c:v>
                </c:pt>
                <c:pt idx="15">
                  <c:v>7</c:v>
                </c:pt>
                <c:pt idx="16">
                  <c:v>10.300162274132736</c:v>
                </c:pt>
                <c:pt idx="17">
                  <c:v>10.600326278518953</c:v>
                </c:pt>
                <c:pt idx="18">
                  <c:v>10.995678626217355</c:v>
                </c:pt>
                <c:pt idx="19">
                  <c:v>11.292429823902062</c:v>
                </c:pt>
                <c:pt idx="20">
                  <c:v>11.585026652029182</c:v>
                </c:pt>
                <c:pt idx="21">
                  <c:v>11.752845385118874</c:v>
                </c:pt>
                <c:pt idx="22">
                  <c:v>11.869666231504993</c:v>
                </c:pt>
                <c:pt idx="23">
                  <c:v>11.958607314841775</c:v>
                </c:pt>
                <c:pt idx="24">
                  <c:v>11.958607314841775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forte'!$A$12:$A$26</c:f>
              <c:numCache>
                <c:ptCount val="1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24.7</c:v>
                </c:pt>
                <c:pt idx="13">
                  <c:v>24.8</c:v>
                </c:pt>
                <c:pt idx="14">
                  <c:v>24.9</c:v>
                </c:pt>
              </c:numCache>
            </c:numRef>
          </c:xVal>
          <c:yVal>
            <c:numRef>
              <c:f>'HC Forte con DOH forte'!$H$12:$H$26</c:f>
              <c:numCache>
                <c:ptCount val="15"/>
                <c:pt idx="0">
                  <c:v>0.9999999999999999</c:v>
                </c:pt>
                <c:pt idx="1">
                  <c:v>1.0871501757189002</c:v>
                </c:pt>
                <c:pt idx="2">
                  <c:v>1.1760912590556811</c:v>
                </c:pt>
                <c:pt idx="3">
                  <c:v>1.2688453122925798</c:v>
                </c:pt>
                <c:pt idx="4">
                  <c:v>1.3679767852945943</c:v>
                </c:pt>
                <c:pt idx="5">
                  <c:v>1.4771212547196624</c:v>
                </c:pt>
                <c:pt idx="6">
                  <c:v>1.6020599913279623</c:v>
                </c:pt>
                <c:pt idx="7">
                  <c:v>1.7533276666586115</c:v>
                </c:pt>
                <c:pt idx="8">
                  <c:v>1.9542425094393245</c:v>
                </c:pt>
                <c:pt idx="9">
                  <c:v>2.278753600952828</c:v>
                </c:pt>
                <c:pt idx="10">
                  <c:v>2.6901960800285125</c:v>
                </c:pt>
                <c:pt idx="11">
                  <c:v>2.995635194597549</c:v>
                </c:pt>
                <c:pt idx="12">
                  <c:v>3.2192351340136622</c:v>
                </c:pt>
                <c:pt idx="13">
                  <c:v>3.3961993470957257</c:v>
                </c:pt>
                <c:pt idx="14">
                  <c:v>3.6981005456233698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forte'!$A$27</c:f>
              <c:numCache>
                <c:ptCount val="1"/>
                <c:pt idx="0">
                  <c:v>25.000000000000004</c:v>
                </c:pt>
              </c:numCache>
            </c:numRef>
          </c:xVal>
          <c:yVal>
            <c:numRef>
              <c:f>'HC Forte con DOH forte'!$H$27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forte'!$A$28:$A$36</c:f>
              <c:numCache>
                <c:ptCount val="9"/>
                <c:pt idx="0">
                  <c:v>25.1</c:v>
                </c:pt>
                <c:pt idx="1">
                  <c:v>25.2</c:v>
                </c:pt>
                <c:pt idx="2">
                  <c:v>25.5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</c:numCache>
            </c:numRef>
          </c:xVal>
          <c:yVal>
            <c:numRef>
              <c:f>'HC Forte con DOH forte'!$H$28:$H$36</c:f>
              <c:numCache>
                <c:ptCount val="9"/>
                <c:pt idx="0">
                  <c:v>10.300162274132736</c:v>
                </c:pt>
                <c:pt idx="1">
                  <c:v>10.600326278518953</c:v>
                </c:pt>
                <c:pt idx="2">
                  <c:v>10.995678626217355</c:v>
                </c:pt>
                <c:pt idx="3">
                  <c:v>11.292429823902062</c:v>
                </c:pt>
                <c:pt idx="4">
                  <c:v>11.585026652029182</c:v>
                </c:pt>
                <c:pt idx="5">
                  <c:v>11.752845385118874</c:v>
                </c:pt>
                <c:pt idx="6">
                  <c:v>11.869666231504993</c:v>
                </c:pt>
                <c:pt idx="7">
                  <c:v>11.958607314841775</c:v>
                </c:pt>
                <c:pt idx="8">
                  <c:v>11.958607314841775</c:v>
                </c:pt>
              </c:numCache>
            </c:numRef>
          </c:yVal>
          <c:smooth val="0"/>
        </c:ser>
        <c:axId val="2616231"/>
        <c:axId val="23546080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 Forte con DOH forte'!$K$14:$K$36</c:f>
              <c:numCache>
                <c:ptCount val="23"/>
              </c:numCache>
            </c:numRef>
          </c:xVal>
          <c:yVal>
            <c:numRef>
              <c:f>'HC Forte con DOH forte'!$L$14:$L$36</c:f>
              <c:numCache>
                <c:ptCount val="23"/>
              </c:numCache>
            </c:numRef>
          </c:yVal>
          <c:smooth val="1"/>
        </c:ser>
        <c:axId val="10588129"/>
        <c:axId val="28184298"/>
      </c:scatterChart>
      <c:valAx>
        <c:axId val="261623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546080"/>
        <c:crosses val="autoZero"/>
        <c:crossBetween val="midCat"/>
        <c:dispUnits/>
        <c:majorUnit val="5"/>
      </c:valAx>
      <c:valAx>
        <c:axId val="2354608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crossBetween val="midCat"/>
        <c:dispUnits/>
        <c:majorUnit val="1"/>
      </c:valAx>
      <c:valAx>
        <c:axId val="10588129"/>
        <c:scaling>
          <c:orientation val="minMax"/>
        </c:scaling>
        <c:axPos val="b"/>
        <c:delete val="1"/>
        <c:majorTickMark val="in"/>
        <c:minorTickMark val="none"/>
        <c:tickLblPos val="nextTo"/>
        <c:crossAx val="28184298"/>
        <c:crosses val="max"/>
        <c:crossBetween val="midCat"/>
        <c:dispUnits/>
      </c:valAx>
      <c:valAx>
        <c:axId val="28184298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675"/>
          <c:w val="0.961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'Esempio HA Debole con DOH forte'!$I$15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forte'!$A$16:$A$41</c:f>
              <c:numCache/>
            </c:numRef>
          </c:xVal>
          <c:yVal>
            <c:numRef>
              <c:f>'Esempio HA Debole con DOH forte'!$I$16:$I$41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forte'!$A$17:$A$31</c:f>
              <c:numCache/>
            </c:numRef>
          </c:xVal>
          <c:yVal>
            <c:numRef>
              <c:f>'Esempio HA Debole con DOH forte'!$I$17:$I$31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forte'!$A$33</c:f>
              <c:numCache/>
            </c:numRef>
          </c:xVal>
          <c:yVal>
            <c:numRef>
              <c:f>'Esempio HA Debole con DOH forte'!$I$33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forte'!$A$35:$A$41</c:f>
              <c:numCache/>
            </c:numRef>
          </c:xVal>
          <c:yVal>
            <c:numRef>
              <c:f>'Esempio HA Debole con DOH forte'!$I$35:$I$41</c:f>
              <c:numCache/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forte'!$A$16</c:f>
              <c:numCache/>
            </c:numRef>
          </c:xVal>
          <c:yVal>
            <c:numRef>
              <c:f>'Esempio HA Debole con DOH forte'!$I$16</c:f>
              <c:numCache/>
            </c:numRef>
          </c:yVal>
          <c:smooth val="0"/>
        </c:ser>
        <c:axId val="52332091"/>
        <c:axId val="1226772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forte'!$L$20:$L$41</c:f>
              <c:numCache/>
            </c:numRef>
          </c:xVal>
          <c:yVal>
            <c:numRef>
              <c:f>'Esempio HA Debole con DOH forte'!$M$20:$M$41</c:f>
              <c:numCache/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forte'!$A$23</c:f>
              <c:numCache/>
            </c:numRef>
          </c:xVal>
          <c:yVal>
            <c:numRef>
              <c:f>'Esempio HA Debole con DOH forte'!$I$23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forte'!$P$44:$P$45</c:f>
              <c:numCache/>
            </c:numRef>
          </c:xVal>
          <c:yVal>
            <c:numRef>
              <c:f>'Esempio HA Debole con DOH forte'!$Q$44:$Q$45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forte'!$P$47:$P$48</c:f>
              <c:numCache/>
            </c:numRef>
          </c:xVal>
          <c:yVal>
            <c:numRef>
              <c:f>'Esempio HA Debole con DOH forte'!$Q$47:$Q$48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forte'!$S$44:$S$45</c:f>
              <c:numCache/>
            </c:numRef>
          </c:xVal>
          <c:yVal>
            <c:numRef>
              <c:f>'Esempio HA Debole con DOH forte'!$T$44:$T$45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'Esempio HA Debole con DOH forte'!$R$16:$R$60</c:f>
              <c:numCache/>
            </c:numRef>
          </c:xVal>
          <c:yVal>
            <c:numRef>
              <c:f>'Esempio HA Debole con DOH forte'!$S$16:$S$60</c:f>
              <c:numCache/>
            </c:numRef>
          </c:yVal>
          <c:smooth val="0"/>
        </c:ser>
        <c:axId val="11040949"/>
        <c:axId val="32259678"/>
      </c:scatterChart>
      <c:valAx>
        <c:axId val="5233209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1" u="none" baseline="0"/>
                  <a:t>V</a:t>
                </a:r>
                <a:r>
                  <a:rPr lang="en-US" cap="none" sz="1350" b="1" i="0" u="none" baseline="-25000"/>
                  <a:t>T</a:t>
                </a:r>
                <a:r>
                  <a:rPr lang="en-US" cap="none" sz="1350" b="1" i="0" u="none" baseline="0"/>
                  <a:t>/cm</a:t>
                </a:r>
                <a:r>
                  <a:rPr lang="en-US" cap="none" sz="13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226772"/>
        <c:crosses val="autoZero"/>
        <c:crossBetween val="midCat"/>
        <c:dispUnits/>
        <c:majorUnit val="5"/>
      </c:valAx>
      <c:valAx>
        <c:axId val="122677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2332091"/>
        <c:crosses val="autoZero"/>
        <c:crossBetween val="midCat"/>
        <c:dispUnits/>
        <c:majorUnit val="1"/>
        <c:minorUnit val="1"/>
      </c:valAx>
      <c:valAx>
        <c:axId val="11040949"/>
        <c:scaling>
          <c:orientation val="minMax"/>
        </c:scaling>
        <c:axPos val="b"/>
        <c:delete val="1"/>
        <c:majorTickMark val="in"/>
        <c:minorTickMark val="none"/>
        <c:tickLblPos val="nextTo"/>
        <c:crossAx val="32259678"/>
        <c:crosses val="max"/>
        <c:crossBetween val="midCat"/>
        <c:dispUnits/>
      </c:valAx>
      <c:valAx>
        <c:axId val="32259678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65"/>
          <c:w val="0.946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'Maschera HA Debole da riempire'!$I$15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riempire'!$A$16:$A$41</c:f>
              <c:numCache/>
            </c:numRef>
          </c:xVal>
          <c:yVal>
            <c:numRef>
              <c:f>'Maschera HA Debole da riempire'!$I$16:$I$41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riempire'!$A$17:$A$31</c:f>
              <c:numCache/>
            </c:numRef>
          </c:xVal>
          <c:yVal>
            <c:numRef>
              <c:f>'Maschera HA Debole da riempire'!$I$17:$I$31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riempire'!$A$33</c:f>
              <c:numCache/>
            </c:numRef>
          </c:xVal>
          <c:yVal>
            <c:numRef>
              <c:f>'Maschera HA Debole da riempire'!$I$33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riempire'!$A$35:$A$41</c:f>
              <c:numCache/>
            </c:numRef>
          </c:xVal>
          <c:yVal>
            <c:numRef>
              <c:f>'Maschera HA Debole da riempire'!$I$35:$I$41</c:f>
              <c:numCache/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riempire'!$A$16</c:f>
              <c:numCache/>
            </c:numRef>
          </c:xVal>
          <c:yVal>
            <c:numRef>
              <c:f>'Maschera HA Debole da riempire'!$I$16</c:f>
              <c:numCache/>
            </c:numRef>
          </c:yVal>
          <c:smooth val="0"/>
        </c:ser>
        <c:axId val="21901647"/>
        <c:axId val="62897096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riempire'!$L$20:$L$41</c:f>
              <c:numCache/>
            </c:numRef>
          </c:xVal>
          <c:yVal>
            <c:numRef>
              <c:f>'Maschera HA Debole da riempire'!$M$20:$M$41</c:f>
              <c:numCache/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riempire'!$A$23</c:f>
              <c:numCache/>
            </c:numRef>
          </c:xVal>
          <c:yVal>
            <c:numRef>
              <c:f>'Maschera HA Debole da riempire'!$I$23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riempire'!$L$43:$L$44</c:f>
              <c:numCache/>
            </c:numRef>
          </c:xVal>
          <c:yVal>
            <c:numRef>
              <c:f>'Maschera HA Debole da riempire'!$M$43:$M$44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riempire'!$L$46:$L$47</c:f>
              <c:numCache/>
            </c:numRef>
          </c:xVal>
          <c:yVal>
            <c:numRef>
              <c:f>'Maschera HA Debole da riempire'!$M$46:$M$47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riempire'!$O$43:$O$44</c:f>
              <c:numCache/>
            </c:numRef>
          </c:xVal>
          <c:yVal>
            <c:numRef>
              <c:f>'Maschera HA Debole da riempire'!$P$43:$P$44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'Maschera HA Debole da riempire'!$R$16:$R$60</c:f>
              <c:numCache/>
            </c:numRef>
          </c:xVal>
          <c:yVal>
            <c:numRef>
              <c:f>'Maschera HA Debole da riempire'!$S$16:$S$60</c:f>
              <c:numCache/>
            </c:numRef>
          </c:yVal>
          <c:smooth val="0"/>
        </c:ser>
        <c:axId val="29202953"/>
        <c:axId val="61499986"/>
      </c:scatterChart>
      <c:valAx>
        <c:axId val="2190164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V</a:t>
                </a:r>
                <a:r>
                  <a:rPr lang="en-US" cap="none" sz="1400" b="1" i="0" u="none" baseline="-25000"/>
                  <a:t>T</a:t>
                </a:r>
                <a:r>
                  <a:rPr lang="en-US" cap="none" sz="1400" b="1" i="0" u="none" baseline="0"/>
                  <a:t>/cm</a:t>
                </a:r>
                <a:r>
                  <a:rPr lang="en-US" cap="none" sz="14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897096"/>
        <c:crosses val="autoZero"/>
        <c:crossBetween val="midCat"/>
        <c:dispUnits/>
        <c:majorUnit val="5"/>
      </c:valAx>
      <c:valAx>
        <c:axId val="6289709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901647"/>
        <c:crosses val="autoZero"/>
        <c:crossBetween val="midCat"/>
        <c:dispUnits/>
        <c:majorUnit val="1"/>
        <c:minorUnit val="1"/>
      </c:valAx>
      <c:valAx>
        <c:axId val="29202953"/>
        <c:scaling>
          <c:orientation val="minMax"/>
        </c:scaling>
        <c:axPos val="b"/>
        <c:delete val="1"/>
        <c:majorTickMark val="in"/>
        <c:minorTickMark val="none"/>
        <c:tickLblPos val="nextTo"/>
        <c:crossAx val="61499986"/>
        <c:crosses val="max"/>
        <c:crossBetween val="midCat"/>
        <c:dispUnits/>
      </c:valAx>
      <c:valAx>
        <c:axId val="6149998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925"/>
          <c:w val="0.9215"/>
          <c:h val="0.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'Es H2A Debole con DOH forte'!$J$11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H2A Debole con DOH forte'!$A$12:$A$37</c:f>
              <c:numCache/>
            </c:numRef>
          </c:xVal>
          <c:yVal>
            <c:numRef>
              <c:f>'Es H2A Debole con DOH forte'!$J$12:$J$37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forte'!$A$13:$A$20</c:f>
              <c:numCache/>
            </c:numRef>
          </c:xVal>
          <c:yVal>
            <c:numRef>
              <c:f>'Es H2A Debole con DOH forte'!$J$13:$J$20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forte'!$A$21</c:f>
              <c:numCache/>
            </c:numRef>
          </c:xVal>
          <c:yVal>
            <c:numRef>
              <c:f>'Es H2A Debole con DOH forte'!$J$21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forte'!$A$22:$A$30</c:f>
              <c:numCache/>
            </c:numRef>
          </c:xVal>
          <c:yVal>
            <c:numRef>
              <c:f>'Es H2A Debole con DOH forte'!$J$22:$J$30</c:f>
              <c:numCache/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forte'!$A$12</c:f>
              <c:numCache/>
            </c:numRef>
          </c:xVal>
          <c:yVal>
            <c:numRef>
              <c:f>'Es H2A Debole con DOH forte'!$J$12</c:f>
              <c:numCache/>
            </c:numRef>
          </c:yVal>
          <c:smooth val="0"/>
        </c:ser>
        <c:axId val="16628963"/>
        <c:axId val="15442940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'Es H2A Debole con DOH forte'!$L$17:$L$37</c:f>
              <c:strCache/>
            </c:strRef>
          </c:xVal>
          <c:yVal>
            <c:numRef>
              <c:f>'Es H2A Debole con DOH forte'!$M$15:$M$37</c:f>
              <c:numCache/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forte'!$A$31</c:f>
              <c:numCache/>
            </c:numRef>
          </c:xVal>
          <c:yVal>
            <c:numRef>
              <c:f>'Es H2A Debole con DOH forte'!$J$31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forte'!$A$32:$A$37</c:f>
              <c:numCache/>
            </c:numRef>
          </c:xVal>
          <c:yVal>
            <c:numRef>
              <c:f>'Es H2A Debole con DOH forte'!$J$32:$J$37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forte'!$A$16</c:f>
              <c:numCache/>
            </c:numRef>
          </c:xVal>
          <c:yVal>
            <c:numRef>
              <c:f>'Es H2A Debole con DOH forte'!$J$16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forte'!$A$25</c:f>
              <c:numCache/>
            </c:numRef>
          </c:xVal>
          <c:yVal>
            <c:numRef>
              <c:f>'Es H2A Debole con DOH forte'!$J$25</c:f>
              <c:numCache/>
            </c:numRef>
          </c:yVal>
          <c:smooth val="0"/>
        </c:ser>
        <c:axId val="4768733"/>
        <c:axId val="42918598"/>
      </c:scatterChart>
      <c:valAx>
        <c:axId val="16628963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442940"/>
        <c:crosses val="autoZero"/>
        <c:crossBetween val="midCat"/>
        <c:dispUnits/>
        <c:majorUnit val="5"/>
      </c:valAx>
      <c:valAx>
        <c:axId val="1544294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628963"/>
        <c:crosses val="autoZero"/>
        <c:crossBetween val="midCat"/>
        <c:dispUnits/>
        <c:majorUnit val="1"/>
        <c:minorUnit val="1"/>
      </c:valAx>
      <c:valAx>
        <c:axId val="4768733"/>
        <c:scaling>
          <c:orientation val="minMax"/>
        </c:scaling>
        <c:axPos val="b"/>
        <c:delete val="1"/>
        <c:majorTickMark val="in"/>
        <c:minorTickMark val="none"/>
        <c:tickLblPos val="nextTo"/>
        <c:crossAx val="42918598"/>
        <c:crosses val="max"/>
        <c:crossBetween val="midCat"/>
        <c:dispUnits/>
      </c:valAx>
      <c:valAx>
        <c:axId val="42918598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768733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"/>
          <c:w val="0.921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'Maschera H2A Debole da riempire'!$J$11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H2A Debole da riempire'!$A$12:$A$37</c:f>
              <c:numCache/>
            </c:numRef>
          </c:xVal>
          <c:yVal>
            <c:numRef>
              <c:f>'Maschera H2A Debole da riempire'!$J$12:$J$37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riempire'!$A$13:$A$20</c:f>
              <c:numCache/>
            </c:numRef>
          </c:xVal>
          <c:yVal>
            <c:numRef>
              <c:f>'Maschera H2A Debole da riempire'!$J$13:$J$20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riempire'!$A$21</c:f>
              <c:numCache/>
            </c:numRef>
          </c:xVal>
          <c:yVal>
            <c:numRef>
              <c:f>'Maschera H2A Debole da riempire'!$J$21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riempire'!$A$22:$A$30</c:f>
              <c:numCache/>
            </c:numRef>
          </c:xVal>
          <c:yVal>
            <c:numRef>
              <c:f>'Maschera H2A Debole da riempire'!$J$22:$J$30</c:f>
              <c:numCache/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riempire'!$A$12</c:f>
              <c:numCache/>
            </c:numRef>
          </c:xVal>
          <c:yVal>
            <c:numRef>
              <c:f>'Maschera H2A Debole da riempire'!$J$12</c:f>
              <c:numCache/>
            </c:numRef>
          </c:yVal>
          <c:smooth val="0"/>
        </c:ser>
        <c:axId val="50723063"/>
        <c:axId val="53854384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H2A Debole da riempire'!$L$15:$L$37</c:f>
              <c:numCache/>
            </c:numRef>
          </c:xVal>
          <c:yVal>
            <c:numRef>
              <c:f>'Maschera H2A Debole da riempire'!$M$15:$M$37</c:f>
              <c:numCache/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riempire'!$A$31</c:f>
              <c:numCache/>
            </c:numRef>
          </c:xVal>
          <c:yVal>
            <c:numRef>
              <c:f>'Maschera H2A Debole da riempire'!$J$31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riempire'!$A$32:$A$37</c:f>
              <c:numCache/>
            </c:numRef>
          </c:xVal>
          <c:yVal>
            <c:numRef>
              <c:f>'Maschera H2A Debole da riempire'!$J$32:$J$37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riempire'!$A$16</c:f>
              <c:numCache/>
            </c:numRef>
          </c:xVal>
          <c:yVal>
            <c:numRef>
              <c:f>'Maschera H2A Debole da riempire'!$J$16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riempire'!$A$25</c:f>
              <c:numCache/>
            </c:numRef>
          </c:xVal>
          <c:yVal>
            <c:numRef>
              <c:f>'Maschera H2A Debole da riempire'!$J$25</c:f>
              <c:numCache/>
            </c:numRef>
          </c:yVal>
          <c:smooth val="0"/>
        </c:ser>
        <c:axId val="14927409"/>
        <c:axId val="128954"/>
      </c:scatterChart>
      <c:valAx>
        <c:axId val="5072306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854384"/>
        <c:crosses val="autoZero"/>
        <c:crossBetween val="midCat"/>
        <c:dispUnits/>
        <c:majorUnit val="5"/>
      </c:valAx>
      <c:valAx>
        <c:axId val="5385438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723063"/>
        <c:crosses val="autoZero"/>
        <c:crossBetween val="midCat"/>
        <c:dispUnits/>
        <c:majorUnit val="1"/>
        <c:minorUnit val="1"/>
      </c:valAx>
      <c:valAx>
        <c:axId val="14927409"/>
        <c:scaling>
          <c:orientation val="minMax"/>
        </c:scaling>
        <c:axPos val="b"/>
        <c:delete val="1"/>
        <c:majorTickMark val="in"/>
        <c:minorTickMark val="none"/>
        <c:tickLblPos val="nextTo"/>
        <c:crossAx val="128954"/>
        <c:crosses val="max"/>
        <c:crossBetween val="midCat"/>
        <c:dispUnits/>
      </c:valAx>
      <c:valAx>
        <c:axId val="128954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25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'Diagramma di speciazione H3A'!$C$8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H3A'!$A$9:$A$79</c:f>
              <c:numCache/>
            </c:numRef>
          </c:xVal>
          <c:yVal>
            <c:numRef>
              <c:f>'Diagramma di speciazione H3A'!$C$9:$C$79</c:f>
              <c:numCache/>
            </c:numRef>
          </c:yVal>
          <c:smooth val="1"/>
        </c:ser>
        <c:ser>
          <c:idx val="1"/>
          <c:order val="1"/>
          <c:tx>
            <c:strRef>
              <c:f>'Diagramma di speciazione H3A'!$D$8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H3A'!$A$9:$A$79</c:f>
              <c:numCache/>
            </c:numRef>
          </c:xVal>
          <c:yVal>
            <c:numRef>
              <c:f>'Diagramma di speciazione H3A'!$D$9:$D$79</c:f>
              <c:numCache/>
            </c:numRef>
          </c:yVal>
          <c:smooth val="1"/>
        </c:ser>
        <c:ser>
          <c:idx val="2"/>
          <c:order val="2"/>
          <c:tx>
            <c:strRef>
              <c:f>'Diagramma di speciazione H3A'!$E$8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H3A'!$A$9:$A$79</c:f>
              <c:numCache/>
            </c:numRef>
          </c:xVal>
          <c:yVal>
            <c:numRef>
              <c:f>'Diagramma di speciazione H3A'!$E$9:$E$79</c:f>
              <c:numCache/>
            </c:numRef>
          </c:yVal>
          <c:smooth val="1"/>
        </c:ser>
        <c:ser>
          <c:idx val="3"/>
          <c:order val="3"/>
          <c:tx>
            <c:strRef>
              <c:f>'Diagramma di speciazione H3A'!$F$8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H3A'!$A$9:$A$79</c:f>
              <c:numCache/>
            </c:numRef>
          </c:xVal>
          <c:yVal>
            <c:numRef>
              <c:f>'Diagramma di speciazione H3A'!$F$9:$F$79</c:f>
              <c:numCache/>
            </c:numRef>
          </c:yVal>
          <c:smooth val="1"/>
        </c:ser>
        <c:axId val="1160587"/>
        <c:axId val="10445284"/>
      </c:scatterChart>
      <c:valAx>
        <c:axId val="1160587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crossBetween val="midCat"/>
        <c:dispUnits/>
        <c:majorUnit val="2"/>
      </c:valAx>
      <c:valAx>
        <c:axId val="104452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6058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0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25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'Diagr. spec. H3A da riempire'!$C$8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'Diagr. spec. H3A da riempire'!$A$9:$A$79</c:f>
              <c:numCache/>
            </c:numRef>
          </c:xVal>
          <c:yVal>
            <c:numRef>
              <c:f>'Diagr. spec. H3A da riempire'!$C$9:$C$79</c:f>
              <c:numCache/>
            </c:numRef>
          </c:yVal>
          <c:smooth val="1"/>
        </c:ser>
        <c:ser>
          <c:idx val="1"/>
          <c:order val="1"/>
          <c:tx>
            <c:strRef>
              <c:f>'Diagr. spec. H3A da riempire'!$D$8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'Diagr. spec. H3A da riempire'!$A$9:$A$79</c:f>
              <c:numCache/>
            </c:numRef>
          </c:xVal>
          <c:yVal>
            <c:numRef>
              <c:f>'Diagr. spec. H3A da riempire'!$D$9:$D$79</c:f>
              <c:numCache/>
            </c:numRef>
          </c:yVal>
          <c:smooth val="1"/>
        </c:ser>
        <c:ser>
          <c:idx val="2"/>
          <c:order val="2"/>
          <c:tx>
            <c:strRef>
              <c:f>'Diagr. spec. H3A da riempire'!$E$8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'Diagr. spec. H3A da riempire'!$A$9:$A$79</c:f>
              <c:numCache/>
            </c:numRef>
          </c:xVal>
          <c:yVal>
            <c:numRef>
              <c:f>'Diagr. spec. H3A da riempire'!$E$9:$E$79</c:f>
              <c:numCache/>
            </c:numRef>
          </c:yVal>
          <c:smooth val="1"/>
        </c:ser>
        <c:ser>
          <c:idx val="3"/>
          <c:order val="3"/>
          <c:tx>
            <c:strRef>
              <c:f>'Diagr. spec. H3A da riempire'!$F$8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'Diagr. spec. H3A da riempire'!$A$9:$A$79</c:f>
              <c:numCache/>
            </c:numRef>
          </c:xVal>
          <c:yVal>
            <c:numRef>
              <c:f>'Diagr. spec. H3A da riempire'!$F$9:$F$79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crossBetween val="midCat"/>
        <c:dispUnits/>
        <c:majorUnit val="2"/>
      </c:valAx>
      <c:valAx>
        <c:axId val="407616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89869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0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'Diagramma di speciazione H2A'!$C$7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H2A'!$A$8:$A$78</c:f>
              <c:numCache/>
            </c:numRef>
          </c:xVal>
          <c:yVal>
            <c:numRef>
              <c:f>'Diagramma di speciazione H2A'!$C$8:$C$78</c:f>
              <c:numCache/>
            </c:numRef>
          </c:yVal>
          <c:smooth val="1"/>
        </c:ser>
        <c:ser>
          <c:idx val="1"/>
          <c:order val="1"/>
          <c:tx>
            <c:strRef>
              <c:f>'Diagramma di speciazione H2A'!$D$7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H2A'!$A$8:$A$78</c:f>
              <c:numCache/>
            </c:numRef>
          </c:xVal>
          <c:yVal>
            <c:numRef>
              <c:f>'Diagramma di speciazione H2A'!$D$8:$D$78</c:f>
              <c:numCache/>
            </c:numRef>
          </c:yVal>
          <c:smooth val="1"/>
        </c:ser>
        <c:ser>
          <c:idx val="2"/>
          <c:order val="2"/>
          <c:tx>
            <c:strRef>
              <c:f>'Diagramma di speciazione H2A'!$E$7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H2A'!$A$8:$A$78</c:f>
              <c:numCache/>
            </c:numRef>
          </c:xVal>
          <c:yVal>
            <c:numRef>
              <c:f>'Diagramma di speciazione H2A'!$E$8:$E$78</c:f>
              <c:numCache/>
            </c:numRef>
          </c:yVal>
          <c:smooth val="1"/>
        </c:ser>
        <c:ser>
          <c:idx val="3"/>
          <c:order val="3"/>
          <c:tx>
            <c:strRef>
              <c:f>'Diagramma di speciazione H2A'!#REF!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H2A'!$A$8:$A$78</c:f>
              <c:numCache/>
            </c:numRef>
          </c:xVal>
          <c:yVal>
            <c:numRef>
              <c:f>'Diagramma di speciazione H2A'!#REF!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310495"/>
        <c:axId val="13359000"/>
      </c:scatterChart>
      <c:valAx>
        <c:axId val="31310495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crossBetween val="midCat"/>
        <c:dispUnits/>
        <c:majorUnit val="2"/>
      </c:valAx>
      <c:valAx>
        <c:axId val="133590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310495"/>
        <c:crosses val="autoZero"/>
        <c:crossBetween val="midCat"/>
        <c:dispUnits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75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'Diagramma di speciazione HA'!$C$8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HA'!$A$9:$A$79</c:f>
              <c:numCache/>
            </c:numRef>
          </c:xVal>
          <c:yVal>
            <c:numRef>
              <c:f>'Diagramma di speciazione HA'!$C$9:$C$79</c:f>
              <c:numCache/>
            </c:numRef>
          </c:yVal>
          <c:smooth val="1"/>
        </c:ser>
        <c:ser>
          <c:idx val="1"/>
          <c:order val="1"/>
          <c:tx>
            <c:strRef>
              <c:f>'Diagramma di speciazione HA'!$D$8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HA'!$A$9:$A$79</c:f>
              <c:numCache/>
            </c:numRef>
          </c:xVal>
          <c:yVal>
            <c:numRef>
              <c:f>'Diagramma di speciazione HA'!$D$9:$D$79</c:f>
              <c:numCache/>
            </c:numRef>
          </c:yVal>
          <c:smooth val="1"/>
        </c:ser>
        <c:ser>
          <c:idx val="2"/>
          <c:order val="2"/>
          <c:tx>
            <c:strRef>
              <c:f>'Diagramma di speciazione HA'!#REF!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HA'!$A$9:$A$79</c:f>
              <c:numCache/>
            </c:numRef>
          </c:xVal>
          <c:yVal>
            <c:numRef>
              <c:f>'Diagramma di speciazione HA'!#REF!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'Diagramma di speciazione HA'!#REF!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'Diagramma di speciazione HA'!$A$9:$A$79</c:f>
              <c:numCache/>
            </c:numRef>
          </c:xVal>
          <c:yVal>
            <c:numRef>
              <c:f>'Diagramma di speciazione HA'!#REF!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122137"/>
        <c:axId val="8337186"/>
      </c:scatterChart>
      <c:valAx>
        <c:axId val="53122137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crossBetween val="midCat"/>
        <c:dispUnits/>
        <c:majorUnit val="2"/>
      </c:valAx>
      <c:valAx>
        <c:axId val="83371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122137"/>
        <c:crosses val="autoZero"/>
        <c:crossBetween val="midCat"/>
        <c:dispUnits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75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10</xdr:row>
      <xdr:rowOff>371475</xdr:rowOff>
    </xdr:from>
    <xdr:to>
      <xdr:col>18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515225" y="2190750"/>
        <a:ext cx="4962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</xdr:row>
      <xdr:rowOff>123825</xdr:rowOff>
    </xdr:from>
    <xdr:to>
      <xdr:col>6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219450" y="876300"/>
          <a:ext cx="1438275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123825</xdr:rowOff>
    </xdr:from>
    <xdr:to>
      <xdr:col>9</xdr:col>
      <xdr:colOff>66675</xdr:colOff>
      <xdr:row>22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619500"/>
          <a:ext cx="1714500" cy="4381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57150</xdr:colOff>
      <xdr:row>31</xdr:row>
      <xdr:rowOff>66675</xdr:rowOff>
    </xdr:from>
    <xdr:to>
      <xdr:col>8</xdr:col>
      <xdr:colOff>1695450</xdr:colOff>
      <xdr:row>34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5829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18</xdr:row>
      <xdr:rowOff>47625</xdr:rowOff>
    </xdr:from>
    <xdr:to>
      <xdr:col>12</xdr:col>
      <xdr:colOff>323850</xdr:colOff>
      <xdr:row>19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rcRect r="43939"/>
        <a:stretch>
          <a:fillRect/>
        </a:stretch>
      </xdr:blipFill>
      <xdr:spPr>
        <a:xfrm>
          <a:off x="5467350" y="3381375"/>
          <a:ext cx="3676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19050</xdr:rowOff>
    </xdr:from>
    <xdr:to>
      <xdr:col>12</xdr:col>
      <xdr:colOff>295275</xdr:colOff>
      <xdr:row>31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r="43939"/>
        <a:stretch>
          <a:fillRect/>
        </a:stretch>
      </xdr:blipFill>
      <xdr:spPr>
        <a:xfrm>
          <a:off x="5438775" y="5619750"/>
          <a:ext cx="3676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6</xdr:row>
      <xdr:rowOff>95250</xdr:rowOff>
    </xdr:from>
    <xdr:to>
      <xdr:col>13</xdr:col>
      <xdr:colOff>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229225" y="1171575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76200</xdr:rowOff>
    </xdr:from>
    <xdr:to>
      <xdr:col>11</xdr:col>
      <xdr:colOff>66675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2362200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0.68575</cdr:x>
      <cdr:y>0.863</cdr:y>
    </cdr:from>
    <cdr:to>
      <cdr:x>0.8855</cdr:x>
      <cdr:y>0.91675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3676650"/>
          <a:ext cx="876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0.32725</cdr:x>
      <cdr:y>0.863</cdr:y>
    </cdr:from>
    <cdr:to>
      <cdr:x>0.7085</cdr:x>
      <cdr:y>0.91675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3676650"/>
          <a:ext cx="1676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0.00225</cdr:x>
      <cdr:y>0.5205</cdr:y>
    </cdr:from>
    <cdr:to>
      <cdr:x>0.3125</cdr:x>
      <cdr:y>0.60225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219325"/>
          <a:ext cx="1362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11</xdr:row>
      <xdr:rowOff>95250</xdr:rowOff>
    </xdr:from>
    <xdr:to>
      <xdr:col>21</xdr:col>
      <xdr:colOff>361950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953625" y="2114550"/>
        <a:ext cx="4400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4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123825</xdr:colOff>
      <xdr:row>12</xdr:row>
      <xdr:rowOff>123825</xdr:rowOff>
    </xdr:from>
    <xdr:to>
      <xdr:col>11</xdr:col>
      <xdr:colOff>180975</xdr:colOff>
      <xdr:row>14</xdr:row>
      <xdr:rowOff>285750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343150"/>
          <a:ext cx="1828800" cy="485775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28575</xdr:colOff>
      <xdr:row>20</xdr:row>
      <xdr:rowOff>38100</xdr:rowOff>
    </xdr:from>
    <xdr:to>
      <xdr:col>20</xdr:col>
      <xdr:colOff>523875</xdr:colOff>
      <xdr:row>21</xdr:row>
      <xdr:rowOff>57150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867150"/>
          <a:ext cx="6553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85725</xdr:rowOff>
    </xdr:from>
    <xdr:to>
      <xdr:col>20</xdr:col>
      <xdr:colOff>542925</xdr:colOff>
      <xdr:row>22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4076700"/>
          <a:ext cx="6553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22</xdr:row>
      <xdr:rowOff>142875</xdr:rowOff>
    </xdr:from>
    <xdr:to>
      <xdr:col>14</xdr:col>
      <xdr:colOff>542925</xdr:colOff>
      <xdr:row>26</xdr:row>
      <xdr:rowOff>19050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4305300"/>
          <a:ext cx="2743200" cy="5429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57150</xdr:colOff>
      <xdr:row>31</xdr:row>
      <xdr:rowOff>9525</xdr:rowOff>
    </xdr:from>
    <xdr:to>
      <xdr:col>16</xdr:col>
      <xdr:colOff>552450</xdr:colOff>
      <xdr:row>32</xdr:row>
      <xdr:rowOff>19050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6"/>
        <a:srcRect r="38447"/>
        <a:stretch>
          <a:fillRect/>
        </a:stretch>
      </xdr:blipFill>
      <xdr:spPr>
        <a:xfrm>
          <a:off x="6924675" y="5648325"/>
          <a:ext cx="403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32</xdr:row>
      <xdr:rowOff>66675</xdr:rowOff>
    </xdr:from>
    <xdr:to>
      <xdr:col>13</xdr:col>
      <xdr:colOff>161925</xdr:colOff>
      <xdr:row>33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34200" y="5867400"/>
          <a:ext cx="1809750" cy="428625"/>
        </a:xfrm>
        <a:prstGeom prst="rect">
          <a:avLst/>
        </a:prstGeom>
        <a:noFill/>
        <a:ln w="15875" cmpd="sng">
          <a:solidFill>
            <a:srgbClr val="CC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34</xdr:row>
      <xdr:rowOff>152400</xdr:rowOff>
    </xdr:from>
    <xdr:to>
      <xdr:col>16</xdr:col>
      <xdr:colOff>142875</xdr:colOff>
      <xdr:row>36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8"/>
        <a:srcRect r="43939"/>
        <a:stretch>
          <a:fillRect/>
        </a:stretch>
      </xdr:blipFill>
      <xdr:spPr>
        <a:xfrm>
          <a:off x="6877050" y="6496050"/>
          <a:ext cx="3676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36</xdr:row>
      <xdr:rowOff>28575</xdr:rowOff>
    </xdr:from>
    <xdr:to>
      <xdr:col>16</xdr:col>
      <xdr:colOff>190500</xdr:colOff>
      <xdr:row>37</xdr:row>
      <xdr:rowOff>19050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9"/>
        <a:srcRect r="43939"/>
        <a:stretch>
          <a:fillRect/>
        </a:stretch>
      </xdr:blipFill>
      <xdr:spPr>
        <a:xfrm>
          <a:off x="6924675" y="6696075"/>
          <a:ext cx="3676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37</xdr:row>
      <xdr:rowOff>47625</xdr:rowOff>
    </xdr:from>
    <xdr:to>
      <xdr:col>15</xdr:col>
      <xdr:colOff>266700</xdr:colOff>
      <xdr:row>40</xdr:row>
      <xdr:rowOff>85725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24675" y="6877050"/>
          <a:ext cx="3143250" cy="523875"/>
        </a:xfrm>
        <a:prstGeom prst="rect">
          <a:avLst/>
        </a:prstGeom>
        <a:noFill/>
        <a:ln w="12700" cmpd="sng">
          <a:solidFill>
            <a:srgbClr val="00CC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0.86625</cdr:y>
    </cdr:from>
    <cdr:to>
      <cdr:x>0.887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82905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0.30875</cdr:x>
      <cdr:y>0.86625</cdr:y>
    </cdr:from>
    <cdr:to>
      <cdr:x>0.651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382905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0.00475</cdr:x>
      <cdr:y>0.52175</cdr:y>
    </cdr:from>
    <cdr:to>
      <cdr:x>0.374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30505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466725</xdr:rowOff>
    </xdr:from>
    <xdr:to>
      <xdr:col>16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62800" y="3009900"/>
        <a:ext cx="3476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10</xdr:row>
      <xdr:rowOff>238125</xdr:rowOff>
    </xdr:from>
    <xdr:to>
      <xdr:col>21</xdr:col>
      <xdr:colOff>590550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1049000" y="2095500"/>
        <a:ext cx="37052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</xdr:row>
      <xdr:rowOff>123825</xdr:rowOff>
    </xdr:from>
    <xdr:to>
      <xdr:col>8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343400" y="914400"/>
          <a:ext cx="1238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</xdr:colOff>
      <xdr:row>10</xdr:row>
      <xdr:rowOff>133350</xdr:rowOff>
    </xdr:from>
    <xdr:to>
      <xdr:col>14</xdr:col>
      <xdr:colOff>76200</xdr:colOff>
      <xdr:row>11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990725"/>
          <a:ext cx="1866900" cy="4667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47625</xdr:colOff>
      <xdr:row>12</xdr:row>
      <xdr:rowOff>133350</xdr:rowOff>
    </xdr:from>
    <xdr:to>
      <xdr:col>14</xdr:col>
      <xdr:colOff>504825</xdr:colOff>
      <xdr:row>15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2619375"/>
          <a:ext cx="2286000" cy="50482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19050</xdr:colOff>
      <xdr:row>23</xdr:row>
      <xdr:rowOff>76200</xdr:rowOff>
    </xdr:from>
    <xdr:to>
      <xdr:col>14</xdr:col>
      <xdr:colOff>400050</xdr:colOff>
      <xdr:row>26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4686300"/>
          <a:ext cx="2209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29</xdr:row>
      <xdr:rowOff>47625</xdr:rowOff>
    </xdr:from>
    <xdr:to>
      <xdr:col>13</xdr:col>
      <xdr:colOff>495300</xdr:colOff>
      <xdr:row>30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5762625"/>
          <a:ext cx="1638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32</xdr:row>
      <xdr:rowOff>47625</xdr:rowOff>
    </xdr:from>
    <xdr:to>
      <xdr:col>15</xdr:col>
      <xdr:colOff>438150</xdr:colOff>
      <xdr:row>35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9600" y="6505575"/>
          <a:ext cx="2771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47625</xdr:rowOff>
    </xdr:from>
    <xdr:to>
      <xdr:col>17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8210550" y="2533650"/>
        <a:ext cx="3705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</xdr:row>
      <xdr:rowOff>123825</xdr:rowOff>
    </xdr:from>
    <xdr:to>
      <xdr:col>8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343400" y="914400"/>
          <a:ext cx="1238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10</xdr:row>
      <xdr:rowOff>38100</xdr:rowOff>
    </xdr:from>
    <xdr:to>
      <xdr:col>13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248150" y="1790700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10</xdr:row>
      <xdr:rowOff>38100</xdr:rowOff>
    </xdr:from>
    <xdr:to>
      <xdr:col>13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248150" y="1790700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L36" sqref="L36"/>
    </sheetView>
  </sheetViews>
  <sheetFormatPr defaultColWidth="9.140625" defaultRowHeight="12.75"/>
  <cols>
    <col min="1" max="1" width="11.00390625" style="2" customWidth="1"/>
    <col min="2" max="2" width="10.00390625" style="2" customWidth="1"/>
    <col min="3" max="3" width="11.421875" style="2" customWidth="1"/>
    <col min="4" max="4" width="11.57421875" style="0" customWidth="1"/>
    <col min="5" max="5" width="12.57421875" style="0" customWidth="1"/>
    <col min="6" max="6" width="8.8515625" style="0" customWidth="1"/>
    <col min="8" max="8" width="6.421875" style="0" customWidth="1"/>
    <col min="9" max="9" width="25.57421875" style="0" customWidth="1"/>
    <col min="10" max="10" width="7.421875" style="0" customWidth="1"/>
    <col min="11" max="11" width="9.421875" style="0" customWidth="1"/>
    <col min="12" max="12" width="8.8515625" style="0" customWidth="1"/>
  </cols>
  <sheetData>
    <row r="1" ht="18">
      <c r="A1" s="6" t="s">
        <v>37</v>
      </c>
    </row>
    <row r="3" spans="1:7" ht="12.75">
      <c r="A3" s="7" t="s">
        <v>22</v>
      </c>
      <c r="B3" s="8"/>
      <c r="C3" s="9"/>
      <c r="D3" s="2"/>
      <c r="E3" s="16" t="s">
        <v>15</v>
      </c>
      <c r="F3" s="17"/>
      <c r="G3" s="18"/>
    </row>
    <row r="4" spans="1:7" ht="15.75">
      <c r="A4" s="10" t="s">
        <v>6</v>
      </c>
      <c r="B4" s="11">
        <v>0.1</v>
      </c>
      <c r="C4" s="12" t="s">
        <v>17</v>
      </c>
      <c r="D4" s="2"/>
      <c r="E4" s="19" t="s">
        <v>8</v>
      </c>
      <c r="F4" s="20">
        <v>0.1</v>
      </c>
      <c r="G4" s="21" t="s">
        <v>9</v>
      </c>
    </row>
    <row r="5" spans="1:4" ht="15.75">
      <c r="A5" s="13" t="s">
        <v>7</v>
      </c>
      <c r="B5" s="14">
        <v>0.025</v>
      </c>
      <c r="C5" s="15" t="s">
        <v>16</v>
      </c>
      <c r="D5" s="2"/>
    </row>
    <row r="7" spans="1:7" ht="14.25">
      <c r="A7" s="22"/>
      <c r="B7" s="23"/>
      <c r="E7" s="95" t="s">
        <v>0</v>
      </c>
      <c r="F7" s="96">
        <f>B4*B5/F4</f>
        <v>0.025000000000000005</v>
      </c>
      <c r="G7" s="97" t="s">
        <v>12</v>
      </c>
    </row>
    <row r="8" spans="1:5" ht="15.75">
      <c r="A8" s="24" t="s">
        <v>3</v>
      </c>
      <c r="B8" s="25">
        <f>10^-14</f>
        <v>1E-14</v>
      </c>
      <c r="D8" s="5" t="s">
        <v>1</v>
      </c>
      <c r="E8" s="2"/>
    </row>
    <row r="9" spans="1:3" ht="12.75">
      <c r="A9" s="26"/>
      <c r="B9" s="27"/>
      <c r="C9" s="3"/>
    </row>
    <row r="11" spans="1:8" ht="30" customHeight="1">
      <c r="A11" s="64" t="s">
        <v>13</v>
      </c>
      <c r="B11" s="65" t="s">
        <v>18</v>
      </c>
      <c r="C11" s="66" t="s">
        <v>19</v>
      </c>
      <c r="D11" s="44" t="s">
        <v>28</v>
      </c>
      <c r="E11" s="55" t="s">
        <v>29</v>
      </c>
      <c r="F11" s="40" t="s">
        <v>4</v>
      </c>
      <c r="G11" s="48" t="s">
        <v>5</v>
      </c>
      <c r="H11" s="48" t="s">
        <v>2</v>
      </c>
    </row>
    <row r="12" spans="1:9" ht="12.75">
      <c r="A12" s="35">
        <v>0</v>
      </c>
      <c r="B12" s="36">
        <f aca="true" t="shared" si="0" ref="B12:B36">A12/1000</f>
        <v>0</v>
      </c>
      <c r="C12" s="37">
        <f aca="true" t="shared" si="1" ref="C12:C27">B12+$B$5</f>
        <v>0.025</v>
      </c>
      <c r="D12" s="45">
        <f aca="true" t="shared" si="2" ref="D12:D27">($B$4*$B$5-$F$4*B12)/C12</f>
        <v>0.10000000000000002</v>
      </c>
      <c r="E12" s="39"/>
      <c r="F12" s="56">
        <f>D12</f>
        <v>0.10000000000000002</v>
      </c>
      <c r="G12" s="34"/>
      <c r="H12" s="51">
        <f aca="true" t="shared" si="3" ref="H12:H27">-LOG(F12)</f>
        <v>0.9999999999999999</v>
      </c>
      <c r="I12" s="101"/>
    </row>
    <row r="13" spans="1:9" ht="12.75" customHeight="1">
      <c r="A13" s="38">
        <v>2.5</v>
      </c>
      <c r="B13" s="39">
        <f t="shared" si="0"/>
        <v>0.0025</v>
      </c>
      <c r="C13" s="37">
        <f t="shared" si="1"/>
        <v>0.0275</v>
      </c>
      <c r="D13" s="45">
        <f t="shared" si="2"/>
        <v>0.08181818181818183</v>
      </c>
      <c r="E13" s="39"/>
      <c r="F13" s="57">
        <f aca="true" t="shared" si="4" ref="F13:F26">D13</f>
        <v>0.08181818181818183</v>
      </c>
      <c r="G13" s="34"/>
      <c r="H13" s="52">
        <f t="shared" si="3"/>
        <v>1.0871501757189002</v>
      </c>
      <c r="I13" s="102"/>
    </row>
    <row r="14" spans="1:9" ht="12.75">
      <c r="A14" s="38">
        <v>5</v>
      </c>
      <c r="B14" s="39">
        <f t="shared" si="0"/>
        <v>0.005</v>
      </c>
      <c r="C14" s="37">
        <f t="shared" si="1"/>
        <v>0.030000000000000002</v>
      </c>
      <c r="D14" s="45">
        <f t="shared" si="2"/>
        <v>0.06666666666666668</v>
      </c>
      <c r="E14" s="39"/>
      <c r="F14" s="57">
        <f t="shared" si="4"/>
        <v>0.06666666666666668</v>
      </c>
      <c r="G14" s="34"/>
      <c r="H14" s="52">
        <f t="shared" si="3"/>
        <v>1.1760912590556811</v>
      </c>
      <c r="I14" s="102"/>
    </row>
    <row r="15" spans="1:9" ht="12.75">
      <c r="A15" s="38">
        <v>7.5</v>
      </c>
      <c r="B15" s="39">
        <f t="shared" si="0"/>
        <v>0.0075</v>
      </c>
      <c r="C15" s="37">
        <f t="shared" si="1"/>
        <v>0.0325</v>
      </c>
      <c r="D15" s="45">
        <f t="shared" si="2"/>
        <v>0.053846153846153856</v>
      </c>
      <c r="E15" s="39"/>
      <c r="F15" s="57">
        <f t="shared" si="4"/>
        <v>0.053846153846153856</v>
      </c>
      <c r="G15" s="34"/>
      <c r="H15" s="52">
        <f t="shared" si="3"/>
        <v>1.2688453122925798</v>
      </c>
      <c r="I15" s="102"/>
    </row>
    <row r="16" spans="1:9" ht="12.75">
      <c r="A16" s="38">
        <v>10</v>
      </c>
      <c r="B16" s="39">
        <f t="shared" si="0"/>
        <v>0.01</v>
      </c>
      <c r="C16" s="37">
        <f t="shared" si="1"/>
        <v>0.035</v>
      </c>
      <c r="D16" s="45">
        <f t="shared" si="2"/>
        <v>0.042857142857142864</v>
      </c>
      <c r="E16" s="39"/>
      <c r="F16" s="57">
        <f t="shared" si="4"/>
        <v>0.042857142857142864</v>
      </c>
      <c r="G16" s="34"/>
      <c r="H16" s="52">
        <f t="shared" si="3"/>
        <v>1.3679767852945943</v>
      </c>
      <c r="I16" s="102"/>
    </row>
    <row r="17" spans="1:9" ht="12.75">
      <c r="A17" s="35">
        <v>12.5</v>
      </c>
      <c r="B17" s="39">
        <f t="shared" si="0"/>
        <v>0.0125</v>
      </c>
      <c r="C17" s="39">
        <f t="shared" si="1"/>
        <v>0.037500000000000006</v>
      </c>
      <c r="D17" s="45">
        <f t="shared" si="2"/>
        <v>0.03333333333333333</v>
      </c>
      <c r="E17" s="39"/>
      <c r="F17" s="56">
        <f t="shared" si="4"/>
        <v>0.03333333333333333</v>
      </c>
      <c r="G17" s="34"/>
      <c r="H17" s="51">
        <f t="shared" si="3"/>
        <v>1.4771212547196624</v>
      </c>
      <c r="I17" s="102"/>
    </row>
    <row r="18" spans="1:9" ht="12.75">
      <c r="A18" s="38">
        <v>15</v>
      </c>
      <c r="B18" s="39">
        <f t="shared" si="0"/>
        <v>0.015</v>
      </c>
      <c r="C18" s="37">
        <f t="shared" si="1"/>
        <v>0.04</v>
      </c>
      <c r="D18" s="45">
        <f t="shared" si="2"/>
        <v>0.025000000000000012</v>
      </c>
      <c r="E18" s="39"/>
      <c r="F18" s="57">
        <f t="shared" si="4"/>
        <v>0.025000000000000012</v>
      </c>
      <c r="G18" s="34"/>
      <c r="H18" s="52">
        <f t="shared" si="3"/>
        <v>1.6020599913279623</v>
      </c>
      <c r="I18" s="103" t="s">
        <v>23</v>
      </c>
    </row>
    <row r="19" spans="1:9" ht="12.75">
      <c r="A19" s="38">
        <v>17.5</v>
      </c>
      <c r="B19" s="39">
        <f t="shared" si="0"/>
        <v>0.0175</v>
      </c>
      <c r="C19" s="37">
        <f t="shared" si="1"/>
        <v>0.0425</v>
      </c>
      <c r="D19" s="45">
        <f t="shared" si="2"/>
        <v>0.017647058823529415</v>
      </c>
      <c r="E19" s="39"/>
      <c r="F19" s="57">
        <f t="shared" si="4"/>
        <v>0.017647058823529415</v>
      </c>
      <c r="G19" s="34"/>
      <c r="H19" s="52">
        <f t="shared" si="3"/>
        <v>1.7533276666586115</v>
      </c>
      <c r="I19" s="102"/>
    </row>
    <row r="20" spans="1:9" ht="12.75">
      <c r="A20" s="38">
        <v>20</v>
      </c>
      <c r="B20" s="39">
        <f t="shared" si="0"/>
        <v>0.02</v>
      </c>
      <c r="C20" s="37">
        <f t="shared" si="1"/>
        <v>0.045</v>
      </c>
      <c r="D20" s="45">
        <f t="shared" si="2"/>
        <v>0.011111111111111122</v>
      </c>
      <c r="E20" s="39"/>
      <c r="F20" s="57">
        <f t="shared" si="4"/>
        <v>0.011111111111111122</v>
      </c>
      <c r="G20" s="34"/>
      <c r="H20" s="52">
        <f t="shared" si="3"/>
        <v>1.9542425094393245</v>
      </c>
      <c r="I20" s="102"/>
    </row>
    <row r="21" spans="1:9" ht="12.75">
      <c r="A21" s="38">
        <v>22.5</v>
      </c>
      <c r="B21" s="39">
        <f t="shared" si="0"/>
        <v>0.0225</v>
      </c>
      <c r="C21" s="37">
        <f t="shared" si="1"/>
        <v>0.0475</v>
      </c>
      <c r="D21" s="45">
        <f t="shared" si="2"/>
        <v>0.005263157894736856</v>
      </c>
      <c r="E21" s="39"/>
      <c r="F21" s="57">
        <f t="shared" si="4"/>
        <v>0.005263157894736856</v>
      </c>
      <c r="G21" s="34"/>
      <c r="H21" s="52">
        <f t="shared" si="3"/>
        <v>2.278753600952828</v>
      </c>
      <c r="I21" s="102"/>
    </row>
    <row r="22" spans="1:9" ht="12.75">
      <c r="A22" s="38">
        <v>24</v>
      </c>
      <c r="B22" s="39">
        <f t="shared" si="0"/>
        <v>0.024</v>
      </c>
      <c r="C22" s="37">
        <f t="shared" si="1"/>
        <v>0.049</v>
      </c>
      <c r="D22" s="45">
        <f t="shared" si="2"/>
        <v>0.0020408163265306176</v>
      </c>
      <c r="E22" s="39"/>
      <c r="F22" s="57">
        <f t="shared" si="4"/>
        <v>0.0020408163265306176</v>
      </c>
      <c r="G22" s="34"/>
      <c r="H22" s="52">
        <f t="shared" si="3"/>
        <v>2.6901960800285125</v>
      </c>
      <c r="I22" s="102"/>
    </row>
    <row r="23" spans="1:9" ht="12.75">
      <c r="A23" s="38">
        <v>24.5</v>
      </c>
      <c r="B23" s="39">
        <f t="shared" si="0"/>
        <v>0.0245</v>
      </c>
      <c r="C23" s="37">
        <f t="shared" si="1"/>
        <v>0.0495</v>
      </c>
      <c r="D23" s="45">
        <f t="shared" si="2"/>
        <v>0.0010101010101010127</v>
      </c>
      <c r="E23" s="39"/>
      <c r="F23" s="57">
        <f t="shared" si="4"/>
        <v>0.0010101010101010127</v>
      </c>
      <c r="G23" s="34"/>
      <c r="H23" s="52">
        <f t="shared" si="3"/>
        <v>2.995635194597549</v>
      </c>
      <c r="I23" s="102"/>
    </row>
    <row r="24" spans="1:9" ht="12.75">
      <c r="A24" s="38">
        <v>24.7</v>
      </c>
      <c r="B24" s="41">
        <f t="shared" si="0"/>
        <v>0.0247</v>
      </c>
      <c r="C24" s="37">
        <f t="shared" si="1"/>
        <v>0.0497</v>
      </c>
      <c r="D24" s="45">
        <f t="shared" si="2"/>
        <v>0.000603621730382304</v>
      </c>
      <c r="E24" s="39"/>
      <c r="F24" s="57">
        <f t="shared" si="4"/>
        <v>0.000603621730382304</v>
      </c>
      <c r="G24" s="34"/>
      <c r="H24" s="52">
        <f t="shared" si="3"/>
        <v>3.2192351340136622</v>
      </c>
      <c r="I24" s="102"/>
    </row>
    <row r="25" spans="1:9" ht="12.75">
      <c r="A25" s="38">
        <v>24.8</v>
      </c>
      <c r="B25" s="42">
        <f t="shared" si="0"/>
        <v>0.0248</v>
      </c>
      <c r="C25" s="37">
        <f t="shared" si="1"/>
        <v>0.0498</v>
      </c>
      <c r="D25" s="45">
        <f t="shared" si="2"/>
        <v>0.000401606425702821</v>
      </c>
      <c r="E25" s="39"/>
      <c r="F25" s="57">
        <f t="shared" si="4"/>
        <v>0.000401606425702821</v>
      </c>
      <c r="G25" s="34"/>
      <c r="H25" s="52">
        <f t="shared" si="3"/>
        <v>3.3961993470957257</v>
      </c>
      <c r="I25" s="102"/>
    </row>
    <row r="26" spans="1:9" ht="12.75">
      <c r="A26" s="38">
        <v>24.9</v>
      </c>
      <c r="B26" s="42">
        <f t="shared" si="0"/>
        <v>0.0249</v>
      </c>
      <c r="C26" s="37">
        <f t="shared" si="1"/>
        <v>0.0499</v>
      </c>
      <c r="D26" s="45">
        <f t="shared" si="2"/>
        <v>0.00020040080160321563</v>
      </c>
      <c r="E26" s="39"/>
      <c r="F26" s="57">
        <f t="shared" si="4"/>
        <v>0.00020040080160321563</v>
      </c>
      <c r="G26" s="34"/>
      <c r="H26" s="52">
        <f t="shared" si="3"/>
        <v>3.6981005456233698</v>
      </c>
      <c r="I26" s="104"/>
    </row>
    <row r="27" spans="1:12" s="63" customFormat="1" ht="38.25" customHeight="1">
      <c r="A27" s="58">
        <f>B27*1000</f>
        <v>25.000000000000004</v>
      </c>
      <c r="B27" s="59">
        <f>F7</f>
        <v>0.025000000000000005</v>
      </c>
      <c r="C27" s="60">
        <f t="shared" si="1"/>
        <v>0.05</v>
      </c>
      <c r="D27" s="136">
        <f t="shared" si="2"/>
        <v>0</v>
      </c>
      <c r="E27" s="137">
        <f aca="true" t="shared" si="5" ref="E27:E36">($F$4*B27-$B$4*$B$5)/C27</f>
        <v>0</v>
      </c>
      <c r="F27" s="98">
        <f>SQRT(B8)</f>
        <v>1E-07</v>
      </c>
      <c r="G27" s="99">
        <f>SQRT(B8)</f>
        <v>1E-07</v>
      </c>
      <c r="H27" s="61">
        <f t="shared" si="3"/>
        <v>7</v>
      </c>
      <c r="I27" s="100" t="s">
        <v>90</v>
      </c>
      <c r="J27" s="62"/>
      <c r="K27" s="62"/>
      <c r="L27" s="62"/>
    </row>
    <row r="28" spans="1:12" s="1" customFormat="1" ht="12.75">
      <c r="A28" s="38">
        <v>25.1</v>
      </c>
      <c r="B28" s="42">
        <f t="shared" si="0"/>
        <v>0.0251</v>
      </c>
      <c r="C28" s="37">
        <f aca="true" t="shared" si="6" ref="C28:C36">A28/1000+$B$5</f>
        <v>0.050100000000000006</v>
      </c>
      <c r="D28" s="32"/>
      <c r="E28" s="49">
        <f t="shared" si="5"/>
        <v>0.00019960079840318547</v>
      </c>
      <c r="F28" s="32"/>
      <c r="G28" s="46">
        <f aca="true" t="shared" si="7" ref="G28:G36">E28</f>
        <v>0.00019960079840318547</v>
      </c>
      <c r="H28" s="53">
        <f aca="true" t="shared" si="8" ref="H28:H36">14+LOG(G28)</f>
        <v>10.300162274132736</v>
      </c>
      <c r="I28" s="105"/>
      <c r="J28"/>
      <c r="K28"/>
      <c r="L28"/>
    </row>
    <row r="29" spans="1:9" ht="12.75">
      <c r="A29" s="38">
        <v>25.2</v>
      </c>
      <c r="B29" s="42">
        <f t="shared" si="0"/>
        <v>0.0252</v>
      </c>
      <c r="C29" s="37">
        <f t="shared" si="6"/>
        <v>0.0502</v>
      </c>
      <c r="D29" s="32"/>
      <c r="E29" s="49">
        <f t="shared" si="5"/>
        <v>0.0003984063745019844</v>
      </c>
      <c r="F29" s="32"/>
      <c r="G29" s="46">
        <f t="shared" si="7"/>
        <v>0.0003984063745019844</v>
      </c>
      <c r="H29" s="53">
        <f t="shared" si="8"/>
        <v>10.600326278518953</v>
      </c>
      <c r="I29" s="106"/>
    </row>
    <row r="30" spans="1:9" ht="12.75">
      <c r="A30" s="38">
        <v>25.5</v>
      </c>
      <c r="B30" s="41">
        <f t="shared" si="0"/>
        <v>0.0255</v>
      </c>
      <c r="C30" s="37">
        <f t="shared" si="6"/>
        <v>0.0505</v>
      </c>
      <c r="D30" s="32"/>
      <c r="E30" s="49">
        <f t="shared" si="5"/>
        <v>0.000990099009900984</v>
      </c>
      <c r="F30" s="32"/>
      <c r="G30" s="46">
        <f t="shared" si="7"/>
        <v>0.000990099009900984</v>
      </c>
      <c r="H30" s="53">
        <f t="shared" si="8"/>
        <v>10.995678626217355</v>
      </c>
      <c r="I30" s="107" t="s">
        <v>24</v>
      </c>
    </row>
    <row r="31" spans="1:9" ht="12.75">
      <c r="A31" s="38">
        <v>26</v>
      </c>
      <c r="B31" s="41">
        <f t="shared" si="0"/>
        <v>0.026</v>
      </c>
      <c r="C31" s="37">
        <f t="shared" si="6"/>
        <v>0.051000000000000004</v>
      </c>
      <c r="D31" s="32"/>
      <c r="E31" s="49">
        <f t="shared" si="5"/>
        <v>0.001960784313725478</v>
      </c>
      <c r="F31" s="32"/>
      <c r="G31" s="46">
        <f t="shared" si="7"/>
        <v>0.001960784313725478</v>
      </c>
      <c r="H31" s="53">
        <f t="shared" si="8"/>
        <v>11.292429823902062</v>
      </c>
      <c r="I31" s="106"/>
    </row>
    <row r="32" spans="1:9" ht="12.75">
      <c r="A32" s="38">
        <v>27</v>
      </c>
      <c r="B32" s="41">
        <f t="shared" si="0"/>
        <v>0.027</v>
      </c>
      <c r="C32" s="37">
        <f t="shared" si="6"/>
        <v>0.052000000000000005</v>
      </c>
      <c r="D32" s="32"/>
      <c r="E32" s="49">
        <f t="shared" si="5"/>
        <v>0.0038461538461538394</v>
      </c>
      <c r="F32" s="32"/>
      <c r="G32" s="46">
        <f t="shared" si="7"/>
        <v>0.0038461538461538394</v>
      </c>
      <c r="H32" s="53">
        <f t="shared" si="8"/>
        <v>11.585026652029182</v>
      </c>
      <c r="I32" s="107"/>
    </row>
    <row r="33" spans="1:9" ht="12.75">
      <c r="A33" s="38">
        <v>28</v>
      </c>
      <c r="B33" s="41">
        <f t="shared" si="0"/>
        <v>0.028</v>
      </c>
      <c r="C33" s="37">
        <f t="shared" si="6"/>
        <v>0.053000000000000005</v>
      </c>
      <c r="D33" s="32"/>
      <c r="E33" s="49">
        <f t="shared" si="5"/>
        <v>0.005660377358490564</v>
      </c>
      <c r="F33" s="32"/>
      <c r="G33" s="46">
        <f t="shared" si="7"/>
        <v>0.005660377358490564</v>
      </c>
      <c r="H33" s="53">
        <f t="shared" si="8"/>
        <v>11.752845385118874</v>
      </c>
      <c r="I33" s="106"/>
    </row>
    <row r="34" spans="1:9" ht="12.75">
      <c r="A34" s="38">
        <v>29</v>
      </c>
      <c r="B34" s="41">
        <f t="shared" si="0"/>
        <v>0.029</v>
      </c>
      <c r="C34" s="37">
        <f t="shared" si="6"/>
        <v>0.054000000000000006</v>
      </c>
      <c r="D34" s="32"/>
      <c r="E34" s="49">
        <f t="shared" si="5"/>
        <v>0.007407407407407402</v>
      </c>
      <c r="F34" s="32"/>
      <c r="G34" s="46">
        <f t="shared" si="7"/>
        <v>0.007407407407407402</v>
      </c>
      <c r="H34" s="53">
        <f t="shared" si="8"/>
        <v>11.869666231504993</v>
      </c>
      <c r="I34" s="106"/>
    </row>
    <row r="35" spans="1:9" ht="12.75">
      <c r="A35" s="38">
        <v>30</v>
      </c>
      <c r="B35" s="41">
        <f t="shared" si="0"/>
        <v>0.03</v>
      </c>
      <c r="C35" s="37">
        <f t="shared" si="6"/>
        <v>0.055</v>
      </c>
      <c r="D35" s="32"/>
      <c r="E35" s="49">
        <f t="shared" si="5"/>
        <v>0.009090909090909084</v>
      </c>
      <c r="F35" s="32"/>
      <c r="G35" s="46">
        <f t="shared" si="7"/>
        <v>0.009090909090909084</v>
      </c>
      <c r="H35" s="53">
        <f t="shared" si="8"/>
        <v>11.958607314841775</v>
      </c>
      <c r="I35" s="106"/>
    </row>
    <row r="36" spans="1:9" ht="12.75">
      <c r="A36" s="43">
        <v>30</v>
      </c>
      <c r="B36" s="41">
        <f t="shared" si="0"/>
        <v>0.03</v>
      </c>
      <c r="C36" s="37">
        <f t="shared" si="6"/>
        <v>0.055</v>
      </c>
      <c r="D36" s="33"/>
      <c r="E36" s="50">
        <f t="shared" si="5"/>
        <v>0.009090909090909084</v>
      </c>
      <c r="F36" s="33"/>
      <c r="G36" s="47">
        <f t="shared" si="7"/>
        <v>0.009090909090909084</v>
      </c>
      <c r="H36" s="54">
        <f t="shared" si="8"/>
        <v>11.958607314841775</v>
      </c>
      <c r="I36" s="108"/>
    </row>
    <row r="37" ht="12.75">
      <c r="C37" s="4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N34" sqref="N34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57421875" style="0" customWidth="1"/>
    <col min="7" max="8" width="9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6" t="s">
        <v>21</v>
      </c>
    </row>
    <row r="3" spans="1:7" ht="12.75">
      <c r="A3" s="196" t="s">
        <v>14</v>
      </c>
      <c r="B3" s="197"/>
      <c r="C3" s="198"/>
      <c r="D3" s="2"/>
      <c r="E3" s="16" t="s">
        <v>15</v>
      </c>
      <c r="F3" s="17"/>
      <c r="G3" s="18"/>
    </row>
    <row r="4" spans="1:7" ht="15.75">
      <c r="A4" s="199" t="s">
        <v>57</v>
      </c>
      <c r="B4" s="200">
        <v>0.1</v>
      </c>
      <c r="C4" s="201" t="s">
        <v>58</v>
      </c>
      <c r="D4" s="2"/>
      <c r="E4" s="19" t="s">
        <v>8</v>
      </c>
      <c r="F4" s="20">
        <v>0.1</v>
      </c>
      <c r="G4" s="21" t="s">
        <v>9</v>
      </c>
    </row>
    <row r="5" spans="1:4" ht="15.75">
      <c r="A5" s="202" t="s">
        <v>59</v>
      </c>
      <c r="B5" s="203">
        <v>0.025</v>
      </c>
      <c r="C5" s="204" t="s">
        <v>60</v>
      </c>
      <c r="D5" s="2"/>
    </row>
    <row r="6" spans="1:4" ht="12.75">
      <c r="A6" s="209"/>
      <c r="B6" s="200"/>
      <c r="C6" s="197"/>
      <c r="D6" s="214"/>
    </row>
    <row r="7" spans="1:4" ht="12.75">
      <c r="A7" s="210" t="s">
        <v>67</v>
      </c>
      <c r="B7" s="211"/>
      <c r="C7" s="197"/>
      <c r="D7" s="9"/>
    </row>
    <row r="8" spans="1:4" ht="15.75">
      <c r="A8" s="215" t="s">
        <v>68</v>
      </c>
      <c r="B8" s="219">
        <v>0.025</v>
      </c>
      <c r="C8" s="212" t="s">
        <v>70</v>
      </c>
      <c r="D8" s="213"/>
    </row>
    <row r="9" spans="1:4" ht="12.75">
      <c r="A9" s="209"/>
      <c r="B9" s="200"/>
      <c r="C9" s="200"/>
      <c r="D9" s="214"/>
    </row>
    <row r="10" spans="1:2" ht="15.75">
      <c r="A10" s="206" t="s">
        <v>61</v>
      </c>
      <c r="B10" s="218">
        <f>-LOG(B11)</f>
        <v>5</v>
      </c>
    </row>
    <row r="11" spans="1:7" ht="14.25">
      <c r="A11" s="22" t="s">
        <v>10</v>
      </c>
      <c r="B11" s="205">
        <v>1E-05</v>
      </c>
      <c r="E11" s="28" t="s">
        <v>0</v>
      </c>
      <c r="F11" s="29">
        <f>B4*B5/F4</f>
        <v>0.025000000000000005</v>
      </c>
      <c r="G11" s="30" t="s">
        <v>12</v>
      </c>
    </row>
    <row r="12" spans="1:5" ht="15.75">
      <c r="A12" s="24" t="s">
        <v>3</v>
      </c>
      <c r="B12" s="25">
        <f>10^-14</f>
        <v>1E-14</v>
      </c>
      <c r="D12" s="5"/>
      <c r="E12" s="2"/>
    </row>
    <row r="13" spans="1:3" ht="12.75">
      <c r="A13" s="26" t="s">
        <v>11</v>
      </c>
      <c r="B13" s="27">
        <f>B12/B11</f>
        <v>9.999999999999999E-10</v>
      </c>
      <c r="C13" s="3"/>
    </row>
    <row r="14" ht="12.75"/>
    <row r="15" spans="1:9" ht="37.5" customHeight="1">
      <c r="A15" s="64" t="s">
        <v>13</v>
      </c>
      <c r="B15" s="65" t="s">
        <v>18</v>
      </c>
      <c r="C15" s="66" t="s">
        <v>69</v>
      </c>
      <c r="D15" s="240" t="s">
        <v>33</v>
      </c>
      <c r="E15" s="153" t="s">
        <v>34</v>
      </c>
      <c r="F15" s="31" t="s">
        <v>35</v>
      </c>
      <c r="G15" s="67" t="s">
        <v>4</v>
      </c>
      <c r="H15" s="67" t="s">
        <v>5</v>
      </c>
      <c r="I15" s="68" t="s">
        <v>2</v>
      </c>
    </row>
    <row r="16" spans="1:10" ht="12.75">
      <c r="A16" s="69">
        <v>0</v>
      </c>
      <c r="B16" s="70">
        <f aca="true" t="shared" si="0" ref="B16:B41">A16/1000</f>
        <v>0</v>
      </c>
      <c r="C16" s="70">
        <f>B16+$B$8+$B$5</f>
        <v>0.05</v>
      </c>
      <c r="D16" s="186">
        <f aca="true" t="shared" si="1" ref="D16:D33">($B$4*$B$5-$F$4*B16)/C16</f>
        <v>0.05000000000000001</v>
      </c>
      <c r="E16" s="188">
        <f aca="true" t="shared" si="2" ref="E16:E41">$F$4*B16/C16</f>
        <v>0</v>
      </c>
      <c r="F16" s="72"/>
      <c r="G16" s="87">
        <f aca="true" t="shared" si="3" ref="G16:G32">(-($B$11+E16)+SQRT(($B$11+E16)^2+4*D16*$B$11))/2</f>
        <v>0.0007021244586351119</v>
      </c>
      <c r="H16" s="71"/>
      <c r="I16" s="242">
        <f aca="true" t="shared" si="4" ref="I16:I32">-LOG(G16)</f>
        <v>3.1535858979733753</v>
      </c>
      <c r="J16" s="243" t="s">
        <v>30</v>
      </c>
    </row>
    <row r="17" spans="1:10" ht="12.75" customHeight="1">
      <c r="A17" s="73">
        <v>0.5</v>
      </c>
      <c r="B17" s="71">
        <f t="shared" si="0"/>
        <v>0.0005</v>
      </c>
      <c r="C17" s="71">
        <f aca="true" t="shared" si="5" ref="C17:C41">B17+$B$8+$B$5</f>
        <v>0.0505</v>
      </c>
      <c r="D17" s="119">
        <f t="shared" si="1"/>
        <v>0.048514851485148516</v>
      </c>
      <c r="E17" s="151">
        <f t="shared" si="2"/>
        <v>0.0009900990099009901</v>
      </c>
      <c r="F17" s="72"/>
      <c r="G17" s="87">
        <f t="shared" si="3"/>
        <v>0.0003573873861690323</v>
      </c>
      <c r="H17" s="71"/>
      <c r="I17" s="239">
        <f t="shared" si="4"/>
        <v>3.446860779793043</v>
      </c>
      <c r="J17" s="244"/>
    </row>
    <row r="18" spans="1:10" ht="12.75" customHeight="1">
      <c r="A18" s="73">
        <v>1</v>
      </c>
      <c r="B18" s="71">
        <f t="shared" si="0"/>
        <v>0.001</v>
      </c>
      <c r="C18" s="71">
        <f t="shared" si="5"/>
        <v>0.051000000000000004</v>
      </c>
      <c r="D18" s="119">
        <f t="shared" si="1"/>
        <v>0.04705882352941177</v>
      </c>
      <c r="E18" s="151">
        <f>$F$4*B18/C18</f>
        <v>0.00196078431372549</v>
      </c>
      <c r="F18" s="72"/>
      <c r="G18" s="87">
        <f t="shared" si="3"/>
        <v>0.00021526846883492923</v>
      </c>
      <c r="H18" s="71"/>
      <c r="I18" s="239">
        <f t="shared" si="4"/>
        <v>3.667019578229651</v>
      </c>
      <c r="J18" s="244" t="s">
        <v>20</v>
      </c>
    </row>
    <row r="19" spans="1:10" ht="12.75" customHeight="1">
      <c r="A19" s="73">
        <v>2.5</v>
      </c>
      <c r="B19" s="71">
        <f t="shared" si="0"/>
        <v>0.0025</v>
      </c>
      <c r="C19" s="71">
        <f t="shared" si="5"/>
        <v>0.052500000000000005</v>
      </c>
      <c r="D19" s="119">
        <f t="shared" si="1"/>
        <v>0.04285714285714286</v>
      </c>
      <c r="E19" s="151">
        <f>$F$4*B19/C19</f>
        <v>0.0047619047619047615</v>
      </c>
      <c r="F19" s="72"/>
      <c r="G19" s="87">
        <f t="shared" si="3"/>
        <v>8.818184999463121E-05</v>
      </c>
      <c r="H19" s="71"/>
      <c r="I19" s="239">
        <f t="shared" si="4"/>
        <v>4.054620794214255</v>
      </c>
      <c r="J19" s="245" t="s">
        <v>25</v>
      </c>
    </row>
    <row r="20" spans="1:10" ht="12.75">
      <c r="A20" s="73">
        <v>5</v>
      </c>
      <c r="B20" s="71">
        <f t="shared" si="0"/>
        <v>0.005</v>
      </c>
      <c r="C20" s="71">
        <f t="shared" si="5"/>
        <v>0.05500000000000001</v>
      </c>
      <c r="D20" s="119">
        <f t="shared" si="1"/>
        <v>0.03636363636363637</v>
      </c>
      <c r="E20" s="151">
        <f t="shared" si="2"/>
        <v>0.00909090909090909</v>
      </c>
      <c r="F20" s="72"/>
      <c r="G20" s="87">
        <f t="shared" si="3"/>
        <v>3.978215147997042E-05</v>
      </c>
      <c r="H20" s="71"/>
      <c r="I20" s="239">
        <f t="shared" si="4"/>
        <v>4.400311733262554</v>
      </c>
      <c r="J20" s="244" t="s">
        <v>26</v>
      </c>
    </row>
    <row r="21" spans="1:10" ht="12.75">
      <c r="A21" s="73">
        <v>7.5</v>
      </c>
      <c r="B21" s="71">
        <f t="shared" si="0"/>
        <v>0.0075</v>
      </c>
      <c r="C21" s="71">
        <f t="shared" si="5"/>
        <v>0.0575</v>
      </c>
      <c r="D21" s="119">
        <f t="shared" si="1"/>
        <v>0.03043478260869566</v>
      </c>
      <c r="E21" s="151">
        <f t="shared" si="2"/>
        <v>0.013043478260869565</v>
      </c>
      <c r="F21" s="72"/>
      <c r="G21" s="87">
        <f t="shared" si="3"/>
        <v>2.3273961371640152E-05</v>
      </c>
      <c r="H21" s="71"/>
      <c r="I21" s="239">
        <f t="shared" si="4"/>
        <v>4.633129690824818</v>
      </c>
      <c r="J21" s="244" t="s">
        <v>31</v>
      </c>
    </row>
    <row r="22" spans="1:10" ht="13.5" thickBot="1">
      <c r="A22" s="73">
        <v>10</v>
      </c>
      <c r="B22" s="71">
        <f t="shared" si="0"/>
        <v>0.01</v>
      </c>
      <c r="C22" s="71">
        <f t="shared" si="5"/>
        <v>0.060000000000000005</v>
      </c>
      <c r="D22" s="119">
        <f t="shared" si="1"/>
        <v>0.025000000000000005</v>
      </c>
      <c r="E22" s="151">
        <f t="shared" si="2"/>
        <v>0.016666666666666666</v>
      </c>
      <c r="F22" s="72"/>
      <c r="G22" s="87">
        <f t="shared" si="3"/>
        <v>1.4977553840552632E-05</v>
      </c>
      <c r="H22" s="71"/>
      <c r="I22" s="239">
        <f t="shared" si="4"/>
        <v>4.824559110554964</v>
      </c>
      <c r="J22" s="246"/>
    </row>
    <row r="23" spans="1:10" ht="13.5" thickBot="1">
      <c r="A23" s="220">
        <f>A33/2</f>
        <v>12.500000000000002</v>
      </c>
      <c r="B23" s="216">
        <f t="shared" si="0"/>
        <v>0.012500000000000002</v>
      </c>
      <c r="C23" s="216">
        <f t="shared" si="5"/>
        <v>0.0625</v>
      </c>
      <c r="D23" s="241">
        <f t="shared" si="1"/>
        <v>0.020000000000000004</v>
      </c>
      <c r="E23" s="221">
        <f t="shared" si="2"/>
        <v>0.020000000000000004</v>
      </c>
      <c r="F23" s="217"/>
      <c r="G23" s="222">
        <f t="shared" si="3"/>
        <v>9.990014972555833E-06</v>
      </c>
      <c r="H23" s="216"/>
      <c r="I23" s="247">
        <f t="shared" si="4"/>
        <v>5.000433860873767</v>
      </c>
      <c r="J23" s="248" t="s">
        <v>27</v>
      </c>
    </row>
    <row r="24" spans="1:10" ht="13.5" thickBot="1">
      <c r="A24" s="73">
        <v>15</v>
      </c>
      <c r="B24" s="71">
        <f t="shared" si="0"/>
        <v>0.015</v>
      </c>
      <c r="C24" s="71">
        <f t="shared" si="5"/>
        <v>0.065</v>
      </c>
      <c r="D24" s="119">
        <f t="shared" si="1"/>
        <v>0.01538461538461539</v>
      </c>
      <c r="E24" s="151">
        <f t="shared" si="2"/>
        <v>0.023076923076923078</v>
      </c>
      <c r="F24" s="72"/>
      <c r="G24" s="87">
        <f t="shared" si="3"/>
        <v>6.661856714246239E-06</v>
      </c>
      <c r="H24" s="71"/>
      <c r="I24" s="249">
        <f t="shared" si="4"/>
        <v>5.176404712515662</v>
      </c>
      <c r="J24" s="250" t="s">
        <v>32</v>
      </c>
    </row>
    <row r="25" spans="1:10" ht="12.75">
      <c r="A25" s="73">
        <v>17.5</v>
      </c>
      <c r="B25" s="71">
        <f t="shared" si="0"/>
        <v>0.0175</v>
      </c>
      <c r="C25" s="71">
        <f t="shared" si="5"/>
        <v>0.0675</v>
      </c>
      <c r="D25" s="119">
        <f t="shared" si="1"/>
        <v>0.011111111111111113</v>
      </c>
      <c r="E25" s="151">
        <f t="shared" si="2"/>
        <v>0.02592592592592593</v>
      </c>
      <c r="F25" s="72"/>
      <c r="G25" s="87">
        <f t="shared" si="3"/>
        <v>4.283354459870201E-06</v>
      </c>
      <c r="H25" s="71"/>
      <c r="I25" s="239">
        <f t="shared" si="4"/>
        <v>5.368215985001978</v>
      </c>
      <c r="J25" s="244"/>
    </row>
    <row r="26" spans="1:10" ht="12.75">
      <c r="A26" s="73">
        <v>20</v>
      </c>
      <c r="B26" s="71">
        <f t="shared" si="0"/>
        <v>0.02</v>
      </c>
      <c r="C26" s="71">
        <f t="shared" si="5"/>
        <v>0.07</v>
      </c>
      <c r="D26" s="119">
        <f t="shared" si="1"/>
        <v>0.007142857142857149</v>
      </c>
      <c r="E26" s="151">
        <f t="shared" si="2"/>
        <v>0.02857142857142857</v>
      </c>
      <c r="F26" s="72"/>
      <c r="G26" s="87">
        <f t="shared" si="3"/>
        <v>2.49890682387649E-06</v>
      </c>
      <c r="H26" s="71"/>
      <c r="I26" s="239">
        <f t="shared" si="4"/>
        <v>5.60224993700308</v>
      </c>
      <c r="J26" s="244"/>
    </row>
    <row r="27" spans="1:10" ht="12.75">
      <c r="A27" s="73">
        <v>22.5</v>
      </c>
      <c r="B27" s="71">
        <f t="shared" si="0"/>
        <v>0.0225</v>
      </c>
      <c r="C27" s="71">
        <f t="shared" si="5"/>
        <v>0.07250000000000001</v>
      </c>
      <c r="D27" s="119">
        <f t="shared" si="1"/>
        <v>0.003448275862068974</v>
      </c>
      <c r="E27" s="151">
        <f t="shared" si="2"/>
        <v>0.031034482758620682</v>
      </c>
      <c r="F27" s="72"/>
      <c r="G27" s="87">
        <f t="shared" si="3"/>
        <v>1.1107134624994963E-06</v>
      </c>
      <c r="H27" s="71"/>
      <c r="I27" s="239">
        <f t="shared" si="4"/>
        <v>5.9543979641963345</v>
      </c>
      <c r="J27" s="244"/>
    </row>
    <row r="28" spans="1:10" ht="12.75">
      <c r="A28" s="73">
        <v>24</v>
      </c>
      <c r="B28" s="71">
        <f t="shared" si="0"/>
        <v>0.024</v>
      </c>
      <c r="C28" s="71">
        <f t="shared" si="5"/>
        <v>0.07400000000000001</v>
      </c>
      <c r="D28" s="119">
        <f t="shared" si="1"/>
        <v>0.0013513513513513547</v>
      </c>
      <c r="E28" s="151">
        <f t="shared" si="2"/>
        <v>0.032432432432432434</v>
      </c>
      <c r="F28" s="72"/>
      <c r="G28" s="87">
        <f t="shared" si="3"/>
        <v>4.1653288612025774E-07</v>
      </c>
      <c r="H28" s="71"/>
      <c r="I28" s="239">
        <f t="shared" si="4"/>
        <v>6.380350704469108</v>
      </c>
      <c r="J28" s="244"/>
    </row>
    <row r="29" spans="1:10" ht="12.75">
      <c r="A29" s="73">
        <v>24.5</v>
      </c>
      <c r="B29" s="71">
        <f t="shared" si="0"/>
        <v>0.0245</v>
      </c>
      <c r="C29" s="71">
        <f t="shared" si="5"/>
        <v>0.07450000000000001</v>
      </c>
      <c r="D29" s="119">
        <f t="shared" si="1"/>
        <v>0.0006711409395973171</v>
      </c>
      <c r="E29" s="151">
        <f t="shared" si="2"/>
        <v>0.032885906040268455</v>
      </c>
      <c r="F29" s="72"/>
      <c r="G29" s="87">
        <f t="shared" si="3"/>
        <v>2.040183287310704E-07</v>
      </c>
      <c r="H29" s="71"/>
      <c r="I29" s="239">
        <f t="shared" si="4"/>
        <v>6.690330814391785</v>
      </c>
      <c r="J29" s="244"/>
    </row>
    <row r="30" spans="1:10" ht="12.75">
      <c r="A30" s="73">
        <v>24.7</v>
      </c>
      <c r="B30" s="76">
        <f t="shared" si="0"/>
        <v>0.0247</v>
      </c>
      <c r="C30" s="76">
        <f t="shared" si="5"/>
        <v>0.0747</v>
      </c>
      <c r="D30" s="119">
        <f t="shared" si="1"/>
        <v>0.0004016064257028181</v>
      </c>
      <c r="E30" s="151">
        <f t="shared" si="2"/>
        <v>0.033065595716198125</v>
      </c>
      <c r="F30" s="72"/>
      <c r="G30" s="87">
        <f t="shared" si="3"/>
        <v>1.2142032296616478E-07</v>
      </c>
      <c r="H30" s="71"/>
      <c r="I30" s="239">
        <f t="shared" si="4"/>
        <v>6.915708616280755</v>
      </c>
      <c r="J30" s="244"/>
    </row>
    <row r="31" spans="1:10" ht="12.75">
      <c r="A31" s="73">
        <v>24.8</v>
      </c>
      <c r="B31" s="77">
        <f t="shared" si="0"/>
        <v>0.0248</v>
      </c>
      <c r="C31" s="77">
        <f t="shared" si="5"/>
        <v>0.0748</v>
      </c>
      <c r="D31" s="119">
        <f t="shared" si="1"/>
        <v>0.0002673796791443915</v>
      </c>
      <c r="E31" s="151">
        <f t="shared" si="2"/>
        <v>0.03315508021390374</v>
      </c>
      <c r="F31" s="72"/>
      <c r="G31" s="87">
        <f t="shared" si="3"/>
        <v>8.062064902475408E-08</v>
      </c>
      <c r="H31" s="71"/>
      <c r="I31" s="239">
        <f t="shared" si="4"/>
        <v>7.09355370994463</v>
      </c>
      <c r="J31" s="244"/>
    </row>
    <row r="32" spans="1:10" ht="12.75">
      <c r="A32" s="73">
        <v>24.9</v>
      </c>
      <c r="B32" s="77">
        <f t="shared" si="0"/>
        <v>0.0249</v>
      </c>
      <c r="C32" s="77">
        <f t="shared" si="5"/>
        <v>0.0749</v>
      </c>
      <c r="D32" s="119">
        <f t="shared" si="1"/>
        <v>0.00013351134846462565</v>
      </c>
      <c r="E32" s="151">
        <f t="shared" si="2"/>
        <v>0.03324432576769026</v>
      </c>
      <c r="F32" s="72"/>
      <c r="G32" s="87">
        <f t="shared" si="3"/>
        <v>4.014851728156854E-08</v>
      </c>
      <c r="H32" s="71"/>
      <c r="I32" s="239">
        <f t="shared" si="4"/>
        <v>7.396330488948773</v>
      </c>
      <c r="J32" s="244"/>
    </row>
    <row r="33" spans="1:19" s="116" customFormat="1" ht="30" customHeight="1">
      <c r="A33" s="109">
        <f>B33*1000</f>
        <v>25.000000000000004</v>
      </c>
      <c r="B33" s="110">
        <f>F11</f>
        <v>0.025000000000000005</v>
      </c>
      <c r="C33" s="110">
        <f t="shared" si="5"/>
        <v>0.07500000000000001</v>
      </c>
      <c r="D33" s="149">
        <f t="shared" si="1"/>
        <v>0</v>
      </c>
      <c r="E33" s="154">
        <f t="shared" si="2"/>
        <v>0.03333333333333333</v>
      </c>
      <c r="F33" s="150">
        <f>($B$4*$B$5-$F$4*D33)/E33</f>
        <v>0.07500000000000001</v>
      </c>
      <c r="G33" s="112">
        <f>B12/H33</f>
        <v>1.7322008140640682E-09</v>
      </c>
      <c r="H33" s="181">
        <f>(-B13+SQRT(B13^2+4*B13*E33))/2</f>
        <v>5.7730027135468915E-06</v>
      </c>
      <c r="I33" s="113">
        <f>-LOG(G33)</f>
        <v>8.76140176163481</v>
      </c>
      <c r="J33" s="114" t="s">
        <v>36</v>
      </c>
      <c r="K33" s="115"/>
      <c r="L33" s="115"/>
      <c r="M33" s="115"/>
      <c r="R33" s="223"/>
      <c r="S33" s="223"/>
    </row>
    <row r="34" spans="1:19" s="1" customFormat="1" ht="12.75">
      <c r="A34" s="73">
        <v>25.1</v>
      </c>
      <c r="B34" s="77">
        <f t="shared" si="0"/>
        <v>0.0251</v>
      </c>
      <c r="C34" s="77">
        <f t="shared" si="5"/>
        <v>0.0751</v>
      </c>
      <c r="D34" s="78"/>
      <c r="E34" s="151">
        <f t="shared" si="2"/>
        <v>0.03342210386151798</v>
      </c>
      <c r="F34" s="79">
        <f aca="true" t="shared" si="6" ref="F34:F41">($F$4*B34-$B$4*$B$5)/C34</f>
        <v>0.00013315579227695862</v>
      </c>
      <c r="G34" s="71"/>
      <c r="H34" s="87">
        <f aca="true" t="shared" si="7" ref="H34:H41">F34</f>
        <v>0.00013315579227695862</v>
      </c>
      <c r="I34" s="80">
        <f aca="true" t="shared" si="8" ref="I34:I41">14+LOG(H34)</f>
        <v>10.124360062995814</v>
      </c>
      <c r="J34" s="107"/>
      <c r="K34"/>
      <c r="L34"/>
      <c r="M34"/>
      <c r="R34" s="224"/>
      <c r="S34" s="224"/>
    </row>
    <row r="35" spans="1:10" ht="12.75">
      <c r="A35" s="73">
        <v>25.2</v>
      </c>
      <c r="B35" s="77">
        <f t="shared" si="0"/>
        <v>0.0252</v>
      </c>
      <c r="C35" s="77">
        <f t="shared" si="5"/>
        <v>0.0752</v>
      </c>
      <c r="D35" s="78"/>
      <c r="E35" s="151">
        <f t="shared" si="2"/>
        <v>0.03351063829787234</v>
      </c>
      <c r="F35" s="79">
        <f t="shared" si="6"/>
        <v>0.00026595744680850555</v>
      </c>
      <c r="G35" s="71"/>
      <c r="H35" s="87">
        <f t="shared" si="7"/>
        <v>0.00026595744680850555</v>
      </c>
      <c r="I35" s="80">
        <f t="shared" si="8"/>
        <v>10.424812155072331</v>
      </c>
      <c r="J35" s="107"/>
    </row>
    <row r="36" spans="1:10" ht="12.75">
      <c r="A36" s="73">
        <v>25.5</v>
      </c>
      <c r="B36" s="76">
        <f t="shared" si="0"/>
        <v>0.0255</v>
      </c>
      <c r="C36" s="76">
        <f t="shared" si="5"/>
        <v>0.07550000000000001</v>
      </c>
      <c r="D36" s="78"/>
      <c r="E36" s="151">
        <f t="shared" si="2"/>
        <v>0.03377483443708609</v>
      </c>
      <c r="F36" s="79">
        <f t="shared" si="6"/>
        <v>0.000662251655629135</v>
      </c>
      <c r="G36" s="71"/>
      <c r="H36" s="87">
        <f t="shared" si="7"/>
        <v>0.000662251655629135</v>
      </c>
      <c r="I36" s="80">
        <f t="shared" si="8"/>
        <v>10.821023052706828</v>
      </c>
      <c r="J36" s="107" t="s">
        <v>24</v>
      </c>
    </row>
    <row r="37" spans="1:21" ht="12.75">
      <c r="A37" s="73">
        <v>26</v>
      </c>
      <c r="B37" s="76">
        <f t="shared" si="0"/>
        <v>0.026</v>
      </c>
      <c r="C37" s="76">
        <f t="shared" si="5"/>
        <v>0.07600000000000001</v>
      </c>
      <c r="D37" s="78"/>
      <c r="E37" s="151">
        <f t="shared" si="2"/>
        <v>0.03421052631578947</v>
      </c>
      <c r="F37" s="79">
        <f t="shared" si="6"/>
        <v>0.0013157894736842023</v>
      </c>
      <c r="G37" s="71"/>
      <c r="H37" s="87">
        <f t="shared" si="7"/>
        <v>0.0013157894736842023</v>
      </c>
      <c r="I37" s="80">
        <f t="shared" si="8"/>
        <v>11.119186407719205</v>
      </c>
      <c r="J37" s="266" t="s">
        <v>25</v>
      </c>
      <c r="P37" s="224"/>
      <c r="Q37" s="224"/>
      <c r="R37" s="224"/>
      <c r="S37" s="224"/>
      <c r="T37" s="224"/>
      <c r="U37" s="224"/>
    </row>
    <row r="38" spans="1:21" ht="12.75">
      <c r="A38" s="73">
        <v>27</v>
      </c>
      <c r="B38" s="76">
        <f t="shared" si="0"/>
        <v>0.027</v>
      </c>
      <c r="C38" s="76">
        <f t="shared" si="5"/>
        <v>0.07700000000000001</v>
      </c>
      <c r="D38" s="78"/>
      <c r="E38" s="151">
        <f t="shared" si="2"/>
        <v>0.03506493506493506</v>
      </c>
      <c r="F38" s="79">
        <f t="shared" si="6"/>
        <v>0.0025974025974025926</v>
      </c>
      <c r="G38" s="71"/>
      <c r="H38" s="87">
        <f t="shared" si="7"/>
        <v>0.0025974025974025926</v>
      </c>
      <c r="I38" s="80">
        <f t="shared" si="8"/>
        <v>11.414539270491499</v>
      </c>
      <c r="J38" s="107"/>
      <c r="P38" s="224"/>
      <c r="Q38" s="224"/>
      <c r="R38" s="224"/>
      <c r="S38" s="224"/>
      <c r="T38" s="224"/>
      <c r="U38" s="224"/>
    </row>
    <row r="39" spans="1:21" ht="12.75">
      <c r="A39" s="73">
        <v>30</v>
      </c>
      <c r="B39" s="76">
        <f t="shared" si="0"/>
        <v>0.03</v>
      </c>
      <c r="C39" s="76">
        <f t="shared" si="5"/>
        <v>0.08</v>
      </c>
      <c r="D39" s="78"/>
      <c r="E39" s="151">
        <f t="shared" si="2"/>
        <v>0.0375</v>
      </c>
      <c r="F39" s="79">
        <f t="shared" si="6"/>
        <v>0.006249999999999994</v>
      </c>
      <c r="G39" s="71"/>
      <c r="H39" s="87">
        <f t="shared" si="7"/>
        <v>0.006249999999999994</v>
      </c>
      <c r="I39" s="80">
        <f t="shared" si="8"/>
        <v>11.795880017344075</v>
      </c>
      <c r="J39" s="107"/>
      <c r="P39" s="224"/>
      <c r="Q39" s="224"/>
      <c r="R39" s="224"/>
      <c r="S39" s="224"/>
      <c r="T39" s="224"/>
      <c r="U39" s="224"/>
    </row>
    <row r="40" spans="1:21" ht="12.75">
      <c r="A40" s="73">
        <v>32.5</v>
      </c>
      <c r="B40" s="76">
        <f t="shared" si="0"/>
        <v>0.0325</v>
      </c>
      <c r="C40" s="76">
        <f t="shared" si="5"/>
        <v>0.0825</v>
      </c>
      <c r="D40" s="78"/>
      <c r="E40" s="151">
        <f t="shared" si="2"/>
        <v>0.0393939393939394</v>
      </c>
      <c r="F40" s="79">
        <f t="shared" si="6"/>
        <v>0.009090909090909089</v>
      </c>
      <c r="G40" s="71"/>
      <c r="H40" s="87">
        <f t="shared" si="7"/>
        <v>0.009090909090909089</v>
      </c>
      <c r="I40" s="80">
        <f t="shared" si="8"/>
        <v>11.958607314841775</v>
      </c>
      <c r="J40" s="107"/>
      <c r="P40" s="224"/>
      <c r="Q40" s="224"/>
      <c r="R40" s="224"/>
      <c r="S40" s="224"/>
      <c r="T40" s="224"/>
      <c r="U40" s="224"/>
    </row>
    <row r="41" spans="1:10" ht="12.75">
      <c r="A41" s="81">
        <v>35</v>
      </c>
      <c r="B41" s="82">
        <f t="shared" si="0"/>
        <v>0.035</v>
      </c>
      <c r="C41" s="82">
        <f t="shared" si="5"/>
        <v>0.085</v>
      </c>
      <c r="D41" s="84"/>
      <c r="E41" s="152">
        <f t="shared" si="2"/>
        <v>0.0411764705882353</v>
      </c>
      <c r="F41" s="85">
        <f t="shared" si="6"/>
        <v>0.011764705882352941</v>
      </c>
      <c r="G41" s="83"/>
      <c r="H41" s="90">
        <f t="shared" si="7"/>
        <v>0.011764705882352941</v>
      </c>
      <c r="I41" s="86">
        <f t="shared" si="8"/>
        <v>12.070581074285707</v>
      </c>
      <c r="J41" s="195"/>
    </row>
    <row r="42" spans="3:21" ht="12.75">
      <c r="C42" s="4"/>
      <c r="L42" s="262"/>
      <c r="M42" s="262"/>
      <c r="N42" s="262"/>
      <c r="O42" s="262"/>
      <c r="P42" s="262"/>
      <c r="Q42" s="262"/>
      <c r="R42" s="262"/>
      <c r="S42" s="262"/>
      <c r="T42" s="262"/>
      <c r="U42" s="262"/>
    </row>
    <row r="43" spans="16:21" ht="12.75">
      <c r="P43" s="262"/>
      <c r="Q43" s="262"/>
      <c r="R43" s="262"/>
      <c r="S43" s="262"/>
      <c r="T43" s="262"/>
      <c r="U43" s="262"/>
    </row>
    <row r="44" spans="14:21" ht="12.75">
      <c r="N44" s="224"/>
      <c r="O44" s="224"/>
      <c r="P44" s="262">
        <v>12.5</v>
      </c>
      <c r="Q44" s="262">
        <v>0</v>
      </c>
      <c r="R44" s="262"/>
      <c r="S44" s="262">
        <v>25</v>
      </c>
      <c r="T44" s="262">
        <v>0</v>
      </c>
      <c r="U44" s="262"/>
    </row>
    <row r="45" spans="14:21" ht="12.75">
      <c r="N45" s="224"/>
      <c r="O45" s="224"/>
      <c r="P45" s="262">
        <v>12.5</v>
      </c>
      <c r="Q45" s="263">
        <v>5</v>
      </c>
      <c r="R45" s="262"/>
      <c r="S45" s="262">
        <v>25</v>
      </c>
      <c r="T45" s="263">
        <f>I33</f>
        <v>8.76140176163481</v>
      </c>
      <c r="U45" s="262"/>
    </row>
    <row r="46" spans="14:21" ht="12.75">
      <c r="N46" s="224"/>
      <c r="O46" s="224"/>
      <c r="P46" s="262"/>
      <c r="Q46" s="262"/>
      <c r="R46" s="262"/>
      <c r="S46" s="262"/>
      <c r="T46" s="262"/>
      <c r="U46" s="262"/>
    </row>
    <row r="47" spans="14:21" ht="12.75">
      <c r="N47" s="224"/>
      <c r="O47" s="224"/>
      <c r="P47" s="262">
        <v>0</v>
      </c>
      <c r="Q47" s="263">
        <v>5</v>
      </c>
      <c r="R47" s="262"/>
      <c r="S47" s="262">
        <v>0</v>
      </c>
      <c r="T47" s="263">
        <f>I33</f>
        <v>8.76140176163481</v>
      </c>
      <c r="U47" s="262"/>
    </row>
    <row r="48" spans="12:21" ht="12.75">
      <c r="L48" s="262"/>
      <c r="M48" s="262"/>
      <c r="N48" s="224"/>
      <c r="O48" s="224"/>
      <c r="P48" s="262">
        <v>12.5</v>
      </c>
      <c r="Q48" s="263">
        <v>5</v>
      </c>
      <c r="R48" s="262"/>
      <c r="S48" s="262"/>
      <c r="T48" s="263"/>
      <c r="U48" s="262"/>
    </row>
    <row r="49" spans="12:21" ht="12.75">
      <c r="L49" s="262"/>
      <c r="M49" s="262"/>
      <c r="N49" s="262"/>
      <c r="O49" s="262"/>
      <c r="P49" s="262"/>
      <c r="Q49" s="262"/>
      <c r="R49" s="262"/>
      <c r="S49" s="262"/>
      <c r="T49" s="262"/>
      <c r="U49" s="262"/>
    </row>
    <row r="50" spans="12:21" ht="12.75">
      <c r="L50" s="262"/>
      <c r="M50" s="262"/>
      <c r="N50" s="262"/>
      <c r="O50" s="262"/>
      <c r="P50" s="262"/>
      <c r="Q50" s="262"/>
      <c r="R50" s="265"/>
      <c r="S50" s="265"/>
      <c r="T50" s="262"/>
      <c r="U50" s="262"/>
    </row>
    <row r="51" spans="16:21" ht="12.75">
      <c r="P51" s="262"/>
      <c r="Q51" s="262"/>
      <c r="R51" s="262"/>
      <c r="S51" s="262"/>
      <c r="T51" s="262"/>
      <c r="U51" s="262"/>
    </row>
    <row r="52" spans="16:21" ht="12.75">
      <c r="P52" s="262"/>
      <c r="Q52" s="262"/>
      <c r="R52" s="262"/>
      <c r="S52" s="262"/>
      <c r="T52" s="262"/>
      <c r="U52" s="262"/>
    </row>
    <row r="53" spans="16:21" ht="12.75">
      <c r="P53" s="262"/>
      <c r="Q53" s="262"/>
      <c r="R53" s="262"/>
      <c r="S53" s="262"/>
      <c r="T53" s="262"/>
      <c r="U53" s="262"/>
    </row>
    <row r="54" spans="16:21" ht="12.75">
      <c r="P54" s="262"/>
      <c r="Q54" s="262"/>
      <c r="R54" s="262"/>
      <c r="S54" s="262"/>
      <c r="T54" s="262"/>
      <c r="U54" s="262"/>
    </row>
    <row r="55" spans="16:21" ht="12.75">
      <c r="P55" s="262"/>
      <c r="Q55" s="262"/>
      <c r="R55" s="262"/>
      <c r="S55" s="262"/>
      <c r="T55" s="262"/>
      <c r="U55" s="262"/>
    </row>
    <row r="56" spans="16:21" ht="12.75">
      <c r="P56" s="262"/>
      <c r="Q56" s="262"/>
      <c r="R56" s="262"/>
      <c r="S56" s="262"/>
      <c r="T56" s="262"/>
      <c r="U56" s="262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R23" sqref="R23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6" t="s">
        <v>21</v>
      </c>
    </row>
    <row r="3" spans="1:7" ht="12.75">
      <c r="A3" s="196" t="s">
        <v>14</v>
      </c>
      <c r="B3" s="197"/>
      <c r="C3" s="198"/>
      <c r="D3" s="2"/>
      <c r="E3" s="16" t="s">
        <v>15</v>
      </c>
      <c r="F3" s="17"/>
      <c r="G3" s="18"/>
    </row>
    <row r="4" spans="1:7" ht="15.75">
      <c r="A4" s="199" t="s">
        <v>57</v>
      </c>
      <c r="B4" s="200">
        <v>0.1</v>
      </c>
      <c r="C4" s="201" t="s">
        <v>58</v>
      </c>
      <c r="D4" s="2"/>
      <c r="E4" s="19" t="s">
        <v>8</v>
      </c>
      <c r="F4" s="20">
        <v>0.1</v>
      </c>
      <c r="G4" s="21" t="s">
        <v>9</v>
      </c>
    </row>
    <row r="5" spans="1:4" ht="15.75">
      <c r="A5" s="202" t="s">
        <v>59</v>
      </c>
      <c r="B5" s="203">
        <v>0.025</v>
      </c>
      <c r="C5" s="204" t="s">
        <v>60</v>
      </c>
      <c r="D5" s="2"/>
    </row>
    <row r="6" spans="1:4" ht="12.75">
      <c r="A6" s="209"/>
      <c r="B6" s="200"/>
      <c r="C6" s="197"/>
      <c r="D6" s="214"/>
    </row>
    <row r="7" spans="1:4" ht="12.75">
      <c r="A7" s="210" t="s">
        <v>67</v>
      </c>
      <c r="B7" s="211"/>
      <c r="C7" s="197"/>
      <c r="D7" s="9"/>
    </row>
    <row r="8" spans="1:4" ht="15.75">
      <c r="A8" s="215" t="s">
        <v>68</v>
      </c>
      <c r="B8" s="219">
        <v>0.025</v>
      </c>
      <c r="C8" s="212" t="s">
        <v>70</v>
      </c>
      <c r="D8" s="213"/>
    </row>
    <row r="9" spans="1:4" ht="12.75">
      <c r="A9" s="209"/>
      <c r="B9" s="200"/>
      <c r="C9" s="200"/>
      <c r="D9" s="214"/>
    </row>
    <row r="10" spans="1:2" ht="15.75">
      <c r="A10" s="206" t="s">
        <v>61</v>
      </c>
      <c r="B10" s="218">
        <f>-LOG(B11)</f>
        <v>5</v>
      </c>
    </row>
    <row r="11" spans="1:7" ht="14.25">
      <c r="A11" s="22" t="s">
        <v>10</v>
      </c>
      <c r="B11" s="205">
        <v>1E-05</v>
      </c>
      <c r="E11" s="28" t="s">
        <v>0</v>
      </c>
      <c r="F11" s="29"/>
      <c r="G11" s="30" t="s">
        <v>12</v>
      </c>
    </row>
    <row r="12" spans="1:5" ht="15.75">
      <c r="A12" s="24" t="s">
        <v>3</v>
      </c>
      <c r="B12" s="25">
        <f>10^-14</f>
        <v>1E-14</v>
      </c>
      <c r="D12" s="5"/>
      <c r="E12" s="2"/>
    </row>
    <row r="13" spans="1:3" ht="12.75">
      <c r="A13" s="26" t="s">
        <v>11</v>
      </c>
      <c r="B13" s="238"/>
      <c r="C13" s="3"/>
    </row>
    <row r="15" spans="1:9" ht="37.5" customHeight="1">
      <c r="A15" s="64" t="s">
        <v>13</v>
      </c>
      <c r="B15" s="65" t="s">
        <v>18</v>
      </c>
      <c r="C15" s="66" t="s">
        <v>69</v>
      </c>
      <c r="D15" s="240" t="s">
        <v>33</v>
      </c>
      <c r="E15" s="153" t="s">
        <v>34</v>
      </c>
      <c r="F15" s="31" t="s">
        <v>35</v>
      </c>
      <c r="G15" s="67" t="s">
        <v>4</v>
      </c>
      <c r="H15" s="67" t="s">
        <v>5</v>
      </c>
      <c r="I15" s="68" t="s">
        <v>2</v>
      </c>
    </row>
    <row r="16" spans="1:10" ht="12.75">
      <c r="A16" s="69">
        <v>0</v>
      </c>
      <c r="B16" s="70"/>
      <c r="C16" s="70"/>
      <c r="D16" s="186"/>
      <c r="E16" s="188"/>
      <c r="F16" s="72"/>
      <c r="G16" s="87"/>
      <c r="H16" s="71"/>
      <c r="I16" s="242"/>
      <c r="J16" s="243" t="s">
        <v>30</v>
      </c>
    </row>
    <row r="17" spans="1:10" ht="12.75" customHeight="1">
      <c r="A17" s="73">
        <v>0.5</v>
      </c>
      <c r="B17" s="71"/>
      <c r="C17" s="71"/>
      <c r="D17" s="119"/>
      <c r="E17" s="151"/>
      <c r="F17" s="72"/>
      <c r="G17" s="87"/>
      <c r="H17" s="71"/>
      <c r="I17" s="239"/>
      <c r="J17" s="244"/>
    </row>
    <row r="18" spans="1:10" ht="12.75" customHeight="1">
      <c r="A18" s="73">
        <v>1</v>
      </c>
      <c r="B18" s="71"/>
      <c r="C18" s="71"/>
      <c r="D18" s="119"/>
      <c r="E18" s="151"/>
      <c r="F18" s="72"/>
      <c r="G18" s="87"/>
      <c r="H18" s="71"/>
      <c r="I18" s="239"/>
      <c r="J18" s="244" t="s">
        <v>20</v>
      </c>
    </row>
    <row r="19" spans="1:10" ht="12.75" customHeight="1">
      <c r="A19" s="73">
        <v>2.5</v>
      </c>
      <c r="B19" s="71"/>
      <c r="C19" s="71"/>
      <c r="D19" s="119"/>
      <c r="E19" s="151"/>
      <c r="F19" s="72"/>
      <c r="G19" s="87"/>
      <c r="H19" s="71"/>
      <c r="I19" s="239"/>
      <c r="J19" s="245" t="s">
        <v>25</v>
      </c>
    </row>
    <row r="20" spans="1:10" ht="12.75">
      <c r="A20" s="73">
        <v>5</v>
      </c>
      <c r="B20" s="71"/>
      <c r="C20" s="71"/>
      <c r="D20" s="119"/>
      <c r="E20" s="151"/>
      <c r="F20" s="72"/>
      <c r="G20" s="87"/>
      <c r="H20" s="71"/>
      <c r="I20" s="239"/>
      <c r="J20" s="244" t="s">
        <v>26</v>
      </c>
    </row>
    <row r="21" spans="1:10" ht="12.75">
      <c r="A21" s="73">
        <v>7.5</v>
      </c>
      <c r="B21" s="71"/>
      <c r="C21" s="71"/>
      <c r="D21" s="119"/>
      <c r="E21" s="151"/>
      <c r="F21" s="72"/>
      <c r="G21" s="87"/>
      <c r="H21" s="71"/>
      <c r="I21" s="239"/>
      <c r="J21" s="244" t="s">
        <v>31</v>
      </c>
    </row>
    <row r="22" spans="1:10" ht="13.5" thickBot="1">
      <c r="A22" s="73">
        <v>10</v>
      </c>
      <c r="B22" s="71"/>
      <c r="C22" s="71"/>
      <c r="D22" s="119"/>
      <c r="E22" s="151"/>
      <c r="F22" s="72"/>
      <c r="G22" s="87"/>
      <c r="H22" s="71"/>
      <c r="I22" s="239"/>
      <c r="J22" s="246"/>
    </row>
    <row r="23" spans="1:10" ht="13.5" thickBot="1">
      <c r="A23" s="220">
        <f>A33/2</f>
        <v>0</v>
      </c>
      <c r="B23" s="216"/>
      <c r="C23" s="216"/>
      <c r="D23" s="241"/>
      <c r="E23" s="221"/>
      <c r="F23" s="217"/>
      <c r="G23" s="222"/>
      <c r="H23" s="216"/>
      <c r="I23" s="247"/>
      <c r="J23" s="248" t="s">
        <v>27</v>
      </c>
    </row>
    <row r="24" spans="1:10" ht="13.5" thickBot="1">
      <c r="A24" s="73">
        <v>15</v>
      </c>
      <c r="B24" s="71"/>
      <c r="C24" s="71"/>
      <c r="D24" s="119"/>
      <c r="E24" s="151"/>
      <c r="F24" s="72"/>
      <c r="G24" s="87"/>
      <c r="H24" s="71"/>
      <c r="I24" s="249"/>
      <c r="J24" s="250" t="s">
        <v>32</v>
      </c>
    </row>
    <row r="25" spans="1:10" ht="12.75">
      <c r="A25" s="73">
        <v>17.5</v>
      </c>
      <c r="B25" s="71"/>
      <c r="C25" s="71"/>
      <c r="D25" s="119"/>
      <c r="E25" s="151"/>
      <c r="F25" s="72"/>
      <c r="G25" s="87"/>
      <c r="H25" s="71"/>
      <c r="I25" s="239"/>
      <c r="J25" s="244"/>
    </row>
    <row r="26" spans="1:10" ht="12.75">
      <c r="A26" s="73">
        <v>20</v>
      </c>
      <c r="B26" s="71"/>
      <c r="C26" s="71"/>
      <c r="D26" s="119"/>
      <c r="E26" s="151"/>
      <c r="F26" s="72"/>
      <c r="G26" s="87"/>
      <c r="H26" s="71"/>
      <c r="I26" s="239"/>
      <c r="J26" s="244"/>
    </row>
    <row r="27" spans="1:10" ht="12.75">
      <c r="A27" s="73">
        <v>22.5</v>
      </c>
      <c r="B27" s="71"/>
      <c r="C27" s="71"/>
      <c r="D27" s="119"/>
      <c r="E27" s="151"/>
      <c r="F27" s="72"/>
      <c r="G27" s="87"/>
      <c r="H27" s="71"/>
      <c r="I27" s="239"/>
      <c r="J27" s="244"/>
    </row>
    <row r="28" spans="1:10" ht="12.75">
      <c r="A28" s="73">
        <v>24</v>
      </c>
      <c r="B28" s="71"/>
      <c r="C28" s="71"/>
      <c r="D28" s="119"/>
      <c r="E28" s="151"/>
      <c r="F28" s="72"/>
      <c r="G28" s="87"/>
      <c r="H28" s="71"/>
      <c r="I28" s="239"/>
      <c r="J28" s="244"/>
    </row>
    <row r="29" spans="1:10" ht="12.75">
      <c r="A29" s="73">
        <v>24.5</v>
      </c>
      <c r="B29" s="71"/>
      <c r="C29" s="71"/>
      <c r="D29" s="119"/>
      <c r="E29" s="151"/>
      <c r="F29" s="72"/>
      <c r="G29" s="87"/>
      <c r="H29" s="71"/>
      <c r="I29" s="239"/>
      <c r="J29" s="244"/>
    </row>
    <row r="30" spans="1:10" ht="12.75">
      <c r="A30" s="73">
        <v>24.7</v>
      </c>
      <c r="B30" s="76"/>
      <c r="C30" s="76"/>
      <c r="D30" s="119"/>
      <c r="E30" s="151"/>
      <c r="F30" s="72"/>
      <c r="G30" s="87"/>
      <c r="H30" s="71"/>
      <c r="I30" s="239"/>
      <c r="J30" s="244"/>
    </row>
    <row r="31" spans="1:10" ht="12.75">
      <c r="A31" s="73">
        <v>24.8</v>
      </c>
      <c r="B31" s="77"/>
      <c r="C31" s="77"/>
      <c r="D31" s="119"/>
      <c r="E31" s="151"/>
      <c r="F31" s="72"/>
      <c r="G31" s="87"/>
      <c r="H31" s="71"/>
      <c r="I31" s="239"/>
      <c r="J31" s="244"/>
    </row>
    <row r="32" spans="1:10" ht="12.75">
      <c r="A32" s="73">
        <v>24.9</v>
      </c>
      <c r="B32" s="77"/>
      <c r="C32" s="77"/>
      <c r="D32" s="119"/>
      <c r="E32" s="151"/>
      <c r="F32" s="72"/>
      <c r="G32" s="87"/>
      <c r="H32" s="71"/>
      <c r="I32" s="239"/>
      <c r="J32" s="244"/>
    </row>
    <row r="33" spans="1:19" s="116" customFormat="1" ht="30" customHeight="1">
      <c r="A33" s="109">
        <f>B33*1000</f>
        <v>0</v>
      </c>
      <c r="B33" s="110"/>
      <c r="C33" s="110"/>
      <c r="D33" s="149"/>
      <c r="E33" s="154"/>
      <c r="F33" s="150"/>
      <c r="G33" s="112"/>
      <c r="H33" s="181"/>
      <c r="I33" s="113"/>
      <c r="J33" s="114" t="s">
        <v>36</v>
      </c>
      <c r="K33" s="115"/>
      <c r="L33" s="115"/>
      <c r="M33" s="115"/>
      <c r="R33" s="223"/>
      <c r="S33" s="223"/>
    </row>
    <row r="34" spans="1:19" s="1" customFormat="1" ht="12.75">
      <c r="A34" s="73">
        <v>25.1</v>
      </c>
      <c r="B34" s="77"/>
      <c r="C34" s="77"/>
      <c r="D34" s="78"/>
      <c r="E34" s="151"/>
      <c r="F34" s="79"/>
      <c r="G34" s="71"/>
      <c r="H34" s="87"/>
      <c r="I34" s="80"/>
      <c r="J34" s="107"/>
      <c r="K34"/>
      <c r="L34"/>
      <c r="M34"/>
      <c r="R34" s="224"/>
      <c r="S34" s="224"/>
    </row>
    <row r="35" spans="1:10" ht="12.75">
      <c r="A35" s="73">
        <v>25.2</v>
      </c>
      <c r="B35" s="77"/>
      <c r="C35" s="77"/>
      <c r="D35" s="78"/>
      <c r="E35" s="151"/>
      <c r="F35" s="79"/>
      <c r="G35" s="71"/>
      <c r="H35" s="87"/>
      <c r="I35" s="80"/>
      <c r="J35" s="107"/>
    </row>
    <row r="36" spans="1:10" ht="12.75">
      <c r="A36" s="73">
        <v>25.5</v>
      </c>
      <c r="B36" s="76"/>
      <c r="C36" s="76"/>
      <c r="D36" s="78"/>
      <c r="E36" s="151"/>
      <c r="F36" s="79"/>
      <c r="G36" s="71"/>
      <c r="H36" s="87"/>
      <c r="I36" s="80"/>
      <c r="J36" s="107" t="s">
        <v>24</v>
      </c>
    </row>
    <row r="37" spans="1:10" ht="12.75">
      <c r="A37" s="73">
        <v>26</v>
      </c>
      <c r="B37" s="76"/>
      <c r="C37" s="76"/>
      <c r="D37" s="78"/>
      <c r="E37" s="151"/>
      <c r="F37" s="79"/>
      <c r="G37" s="71"/>
      <c r="H37" s="87"/>
      <c r="I37" s="80"/>
      <c r="J37" s="266" t="s">
        <v>25</v>
      </c>
    </row>
    <row r="38" spans="1:10" ht="12.75">
      <c r="A38" s="73">
        <v>27</v>
      </c>
      <c r="B38" s="76"/>
      <c r="C38" s="76"/>
      <c r="D38" s="78"/>
      <c r="E38" s="151"/>
      <c r="F38" s="79"/>
      <c r="G38" s="71"/>
      <c r="H38" s="87"/>
      <c r="I38" s="80"/>
      <c r="J38" s="107"/>
    </row>
    <row r="39" spans="1:10" ht="12.75">
      <c r="A39" s="73">
        <v>30</v>
      </c>
      <c r="B39" s="76"/>
      <c r="C39" s="76"/>
      <c r="D39" s="78"/>
      <c r="E39" s="151"/>
      <c r="F39" s="79"/>
      <c r="G39" s="71"/>
      <c r="H39" s="87"/>
      <c r="I39" s="80"/>
      <c r="J39" s="107"/>
    </row>
    <row r="40" spans="1:10" ht="12.75">
      <c r="A40" s="73">
        <v>32.5</v>
      </c>
      <c r="B40" s="76"/>
      <c r="C40" s="76"/>
      <c r="D40" s="78"/>
      <c r="E40" s="151"/>
      <c r="F40" s="79"/>
      <c r="G40" s="71"/>
      <c r="H40" s="87"/>
      <c r="I40" s="80"/>
      <c r="J40" s="107"/>
    </row>
    <row r="41" spans="1:10" ht="12.75">
      <c r="A41" s="81">
        <v>35</v>
      </c>
      <c r="B41" s="82"/>
      <c r="C41" s="82"/>
      <c r="D41" s="84"/>
      <c r="E41" s="152"/>
      <c r="F41" s="85"/>
      <c r="G41" s="83"/>
      <c r="H41" s="90"/>
      <c r="I41" s="86"/>
      <c r="J41" s="195"/>
    </row>
    <row r="42" ht="12.75">
      <c r="C42" s="4"/>
    </row>
    <row r="43" spans="12:16" ht="12.75">
      <c r="L43" s="262">
        <v>12.5</v>
      </c>
      <c r="M43" s="262">
        <v>0</v>
      </c>
      <c r="N43" s="262"/>
      <c r="O43" s="262">
        <v>25</v>
      </c>
      <c r="P43" s="262">
        <v>0</v>
      </c>
    </row>
    <row r="44" spans="12:16" ht="12.75">
      <c r="L44" s="262">
        <v>12.5</v>
      </c>
      <c r="M44" s="263">
        <v>5</v>
      </c>
      <c r="N44" s="262"/>
      <c r="O44" s="262">
        <v>25</v>
      </c>
      <c r="P44" s="263">
        <f>I33</f>
        <v>0</v>
      </c>
    </row>
    <row r="45" spans="12:16" ht="12.75">
      <c r="L45" s="262"/>
      <c r="M45" s="262"/>
      <c r="N45" s="262"/>
      <c r="O45" s="262"/>
      <c r="P45" s="262"/>
    </row>
    <row r="46" spans="12:16" ht="12.75">
      <c r="L46" s="262">
        <v>0</v>
      </c>
      <c r="M46" s="263">
        <v>5</v>
      </c>
      <c r="N46" s="262"/>
      <c r="O46" s="262">
        <v>0</v>
      </c>
      <c r="P46" s="263">
        <f>I33</f>
        <v>0</v>
      </c>
    </row>
    <row r="47" spans="12:16" ht="12.75">
      <c r="L47" s="262">
        <v>12.5</v>
      </c>
      <c r="M47" s="263">
        <v>5</v>
      </c>
      <c r="N47" s="262"/>
      <c r="O47" s="262"/>
      <c r="P47" s="263"/>
    </row>
    <row r="48" spans="12:16" ht="12.75">
      <c r="L48" s="262"/>
      <c r="M48" s="262"/>
      <c r="N48" s="262"/>
      <c r="O48" s="262"/>
      <c r="P48" s="262"/>
    </row>
    <row r="50" spans="18:19" ht="12.75">
      <c r="R50" s="1"/>
      <c r="S50" s="1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3">
      <selection activeCell="J53" sqref="J53"/>
    </sheetView>
  </sheetViews>
  <sheetFormatPr defaultColWidth="9.140625" defaultRowHeight="12.75"/>
  <cols>
    <col min="1" max="1" width="8.00390625" style="2" customWidth="1"/>
    <col min="2" max="2" width="10.140625" style="2" customWidth="1"/>
    <col min="3" max="3" width="9.421875" style="2" customWidth="1"/>
    <col min="4" max="4" width="11.140625" style="0" customWidth="1"/>
    <col min="5" max="5" width="11.00390625" style="0" customWidth="1"/>
    <col min="6" max="6" width="11.140625" style="0" customWidth="1"/>
    <col min="7" max="7" width="10.8515625" style="0" customWidth="1"/>
    <col min="8" max="8" width="7.57421875" style="0" customWidth="1"/>
    <col min="9" max="9" width="9.7109375" style="0" customWidth="1"/>
    <col min="10" max="10" width="6.8515625" style="0" customWidth="1"/>
    <col min="11" max="11" width="26.00390625" style="0" customWidth="1"/>
    <col min="12" max="12" width="9.421875" style="0" customWidth="1"/>
    <col min="13" max="13" width="8.8515625" style="0" customWidth="1"/>
    <col min="16" max="16" width="8.28125" style="0" customWidth="1"/>
  </cols>
  <sheetData>
    <row r="1" ht="21">
      <c r="A1" s="6" t="s">
        <v>38</v>
      </c>
    </row>
    <row r="3" spans="1:9" ht="12.75">
      <c r="A3" s="7" t="s">
        <v>14</v>
      </c>
      <c r="B3" s="8"/>
      <c r="C3" s="9"/>
      <c r="F3" s="2"/>
      <c r="G3" s="16" t="s">
        <v>15</v>
      </c>
      <c r="H3" s="17"/>
      <c r="I3" s="18"/>
    </row>
    <row r="4" spans="1:9" ht="15.75">
      <c r="A4" s="10" t="s">
        <v>6</v>
      </c>
      <c r="B4" s="11">
        <v>0.1</v>
      </c>
      <c r="C4" s="12" t="s">
        <v>17</v>
      </c>
      <c r="F4" s="2"/>
      <c r="G4" s="19" t="s">
        <v>8</v>
      </c>
      <c r="H4" s="20">
        <v>0.1</v>
      </c>
      <c r="I4" s="21" t="s">
        <v>9</v>
      </c>
    </row>
    <row r="5" spans="1:6" ht="15.75">
      <c r="A5" s="13" t="s">
        <v>7</v>
      </c>
      <c r="B5" s="14">
        <v>0.012</v>
      </c>
      <c r="C5" s="15" t="s">
        <v>16</v>
      </c>
      <c r="F5" s="2"/>
    </row>
    <row r="7" spans="1:9" ht="14.25">
      <c r="A7" s="22" t="s">
        <v>10</v>
      </c>
      <c r="B7" s="23">
        <v>0.00142</v>
      </c>
      <c r="C7" s="22" t="s">
        <v>10</v>
      </c>
      <c r="D7" s="120">
        <v>2.01E-06</v>
      </c>
      <c r="G7" s="121" t="s">
        <v>40</v>
      </c>
      <c r="H7" s="122">
        <f>B4*B5/H4</f>
        <v>0.012</v>
      </c>
      <c r="I7" s="123" t="s">
        <v>12</v>
      </c>
    </row>
    <row r="8" spans="1:9" ht="15.75">
      <c r="A8" s="24" t="s">
        <v>3</v>
      </c>
      <c r="B8" s="25">
        <f>10^-14</f>
        <v>1E-14</v>
      </c>
      <c r="C8" s="24" t="s">
        <v>3</v>
      </c>
      <c r="D8" s="25">
        <f>10^-14</f>
        <v>1E-14</v>
      </c>
      <c r="G8" s="28" t="s">
        <v>40</v>
      </c>
      <c r="H8" s="29">
        <f>H7*2</f>
        <v>0.024</v>
      </c>
      <c r="I8" s="30" t="s">
        <v>12</v>
      </c>
    </row>
    <row r="9" spans="1:7" ht="12.75">
      <c r="A9" s="26" t="s">
        <v>11</v>
      </c>
      <c r="B9" s="27">
        <f>B8/B7</f>
        <v>7.04225352112676E-12</v>
      </c>
      <c r="C9" s="26" t="s">
        <v>11</v>
      </c>
      <c r="D9" s="27">
        <f>D8/D7</f>
        <v>4.975124378109453E-09</v>
      </c>
      <c r="F9" s="5" t="s">
        <v>1</v>
      </c>
      <c r="G9" s="2"/>
    </row>
    <row r="11" spans="1:15" s="129" customFormat="1" ht="33.75" customHeight="1">
      <c r="A11" s="124" t="s">
        <v>13</v>
      </c>
      <c r="B11" s="125" t="s">
        <v>18</v>
      </c>
      <c r="C11" s="126" t="s">
        <v>55</v>
      </c>
      <c r="D11" s="127" t="s">
        <v>41</v>
      </c>
      <c r="E11" s="131" t="s">
        <v>42</v>
      </c>
      <c r="F11" s="130" t="s">
        <v>43</v>
      </c>
      <c r="G11" s="143" t="s">
        <v>35</v>
      </c>
      <c r="H11" s="128" t="s">
        <v>4</v>
      </c>
      <c r="I11" s="128" t="s">
        <v>5</v>
      </c>
      <c r="J11" s="155" t="s">
        <v>2</v>
      </c>
      <c r="O11" t="s">
        <v>91</v>
      </c>
    </row>
    <row r="12" spans="1:11" ht="15.75">
      <c r="A12" s="69">
        <v>0</v>
      </c>
      <c r="B12" s="70">
        <f aca="true" t="shared" si="0" ref="B12:B37">A12/1000</f>
        <v>0</v>
      </c>
      <c r="C12" s="71">
        <f aca="true" t="shared" si="1" ref="C12:C21">B12+$B$5</f>
        <v>0.012</v>
      </c>
      <c r="D12" s="186">
        <f aca="true" t="shared" si="2" ref="D12:D21">($B$4*$B$5-$H$4*B12)/C12</f>
        <v>0.1</v>
      </c>
      <c r="E12" s="187">
        <f aca="true" t="shared" si="3" ref="E12:E21">$H$4*B12/C12</f>
        <v>0</v>
      </c>
      <c r="F12" s="173"/>
      <c r="G12" s="144"/>
      <c r="H12" s="87">
        <f aca="true" t="shared" si="4" ref="H12:H20">(-($B$7+E12)+SQRT(($B$7+E12)^2+4*D12*$B$7))/2</f>
        <v>0.011227508115180487</v>
      </c>
      <c r="I12" s="71"/>
      <c r="J12" s="156">
        <f aca="true" t="shared" si="5" ref="J12:J22">-LOG(H12)</f>
        <v>1.9497166223594955</v>
      </c>
      <c r="K12" s="157" t="s">
        <v>44</v>
      </c>
    </row>
    <row r="13" spans="1:11" ht="12.75" customHeight="1">
      <c r="A13" s="73">
        <v>1.5</v>
      </c>
      <c r="B13" s="71">
        <f t="shared" si="0"/>
        <v>0.0015</v>
      </c>
      <c r="C13" s="71">
        <f t="shared" si="1"/>
        <v>0.0135</v>
      </c>
      <c r="D13" s="119">
        <f t="shared" si="2"/>
        <v>0.07777777777777779</v>
      </c>
      <c r="E13" s="132">
        <f t="shared" si="3"/>
        <v>0.011111111111111112</v>
      </c>
      <c r="F13" s="173"/>
      <c r="G13" s="144"/>
      <c r="H13" s="87">
        <f t="shared" si="4"/>
        <v>0.005969706226041009</v>
      </c>
      <c r="I13" s="71"/>
      <c r="J13" s="158">
        <f t="shared" si="5"/>
        <v>2.224047040319296</v>
      </c>
      <c r="K13" s="159" t="s">
        <v>45</v>
      </c>
    </row>
    <row r="14" spans="1:11" ht="12.75" customHeight="1">
      <c r="A14" s="73">
        <v>3</v>
      </c>
      <c r="B14" s="71">
        <f t="shared" si="0"/>
        <v>0.003</v>
      </c>
      <c r="C14" s="71">
        <f t="shared" si="1"/>
        <v>0.015</v>
      </c>
      <c r="D14" s="119">
        <f t="shared" si="2"/>
        <v>0.060000000000000005</v>
      </c>
      <c r="E14" s="132">
        <f t="shared" si="3"/>
        <v>0.020000000000000004</v>
      </c>
      <c r="F14" s="173"/>
      <c r="G14" s="144"/>
      <c r="H14" s="87">
        <f t="shared" si="4"/>
        <v>0.003428744640172267</v>
      </c>
      <c r="I14" s="71"/>
      <c r="J14" s="91">
        <f t="shared" si="5"/>
        <v>2.464864858277805</v>
      </c>
      <c r="K14" s="160" t="s">
        <v>46</v>
      </c>
    </row>
    <row r="15" spans="1:11" ht="12.75">
      <c r="A15" s="73">
        <v>4.5</v>
      </c>
      <c r="B15" s="71">
        <f t="shared" si="0"/>
        <v>0.0045</v>
      </c>
      <c r="C15" s="71">
        <f t="shared" si="1"/>
        <v>0.0165</v>
      </c>
      <c r="D15" s="119">
        <f t="shared" si="2"/>
        <v>0.04545454545454546</v>
      </c>
      <c r="E15" s="132">
        <f t="shared" si="3"/>
        <v>0.02727272727272727</v>
      </c>
      <c r="F15" s="173"/>
      <c r="G15" s="144"/>
      <c r="H15" s="87">
        <f t="shared" si="4"/>
        <v>0.002096373487735604</v>
      </c>
      <c r="I15" s="71"/>
      <c r="J15" s="91">
        <f t="shared" si="5"/>
        <v>2.678531341338714</v>
      </c>
      <c r="K15" s="161" t="s">
        <v>39</v>
      </c>
    </row>
    <row r="16" spans="1:11" ht="12.75">
      <c r="A16" s="74">
        <f>A21/2</f>
        <v>6</v>
      </c>
      <c r="B16" s="75">
        <f t="shared" si="0"/>
        <v>0.006</v>
      </c>
      <c r="C16" s="75">
        <f t="shared" si="1"/>
        <v>0.018000000000000002</v>
      </c>
      <c r="D16" s="182">
        <f t="shared" si="2"/>
        <v>0.03333333333333333</v>
      </c>
      <c r="E16" s="183">
        <f t="shared" si="3"/>
        <v>0.03333333333333333</v>
      </c>
      <c r="F16" s="135"/>
      <c r="G16" s="145"/>
      <c r="H16" s="89">
        <f t="shared" si="4"/>
        <v>0.0013124177886451524</v>
      </c>
      <c r="I16" s="75"/>
      <c r="J16" s="92">
        <f t="shared" si="5"/>
        <v>2.8819278917741995</v>
      </c>
      <c r="K16" s="93" t="s">
        <v>49</v>
      </c>
    </row>
    <row r="17" spans="1:15" ht="15.75">
      <c r="A17" s="73">
        <v>7.5</v>
      </c>
      <c r="B17" s="71">
        <f t="shared" si="0"/>
        <v>0.0075</v>
      </c>
      <c r="C17" s="71">
        <f t="shared" si="1"/>
        <v>0.0195</v>
      </c>
      <c r="D17" s="119">
        <f t="shared" si="2"/>
        <v>0.02307692307692308</v>
      </c>
      <c r="E17" s="132">
        <f t="shared" si="3"/>
        <v>0.038461538461538464</v>
      </c>
      <c r="F17" s="173"/>
      <c r="G17" s="144"/>
      <c r="H17" s="87">
        <f t="shared" si="4"/>
        <v>0.000805399289804002</v>
      </c>
      <c r="I17" s="71"/>
      <c r="J17" s="91">
        <f t="shared" si="5"/>
        <v>3.0939887576865446</v>
      </c>
      <c r="K17" s="94" t="s">
        <v>47</v>
      </c>
      <c r="L17" s="264" t="s">
        <v>93</v>
      </c>
      <c r="O17" t="s">
        <v>91</v>
      </c>
    </row>
    <row r="18" spans="1:12" ht="14.25">
      <c r="A18" s="73">
        <v>9</v>
      </c>
      <c r="B18" s="71">
        <f t="shared" si="0"/>
        <v>0.009</v>
      </c>
      <c r="C18" s="71">
        <f t="shared" si="1"/>
        <v>0.020999999999999998</v>
      </c>
      <c r="D18" s="119">
        <f t="shared" si="2"/>
        <v>0.014285714285714294</v>
      </c>
      <c r="E18" s="132">
        <f t="shared" si="3"/>
        <v>0.04285714285714286</v>
      </c>
      <c r="F18" s="173"/>
      <c r="G18" s="144"/>
      <c r="H18" s="87">
        <f t="shared" si="4"/>
        <v>0.00045350813891579037</v>
      </c>
      <c r="I18" s="71"/>
      <c r="J18" s="91">
        <f t="shared" si="5"/>
        <v>3.3434149144374063</v>
      </c>
      <c r="K18" s="161"/>
      <c r="L18" s="264" t="s">
        <v>94</v>
      </c>
    </row>
    <row r="19" spans="1:11" ht="12.75">
      <c r="A19" s="73">
        <v>10</v>
      </c>
      <c r="B19" s="71">
        <f t="shared" si="0"/>
        <v>0.01</v>
      </c>
      <c r="C19" s="71">
        <f t="shared" si="1"/>
        <v>0.022</v>
      </c>
      <c r="D19" s="119">
        <f t="shared" si="2"/>
        <v>0.009090909090909096</v>
      </c>
      <c r="E19" s="132">
        <f t="shared" si="3"/>
        <v>0.045454545454545456</v>
      </c>
      <c r="F19" s="173"/>
      <c r="G19" s="144"/>
      <c r="H19" s="87">
        <f t="shared" si="4"/>
        <v>0.0002737973414030613</v>
      </c>
      <c r="I19" s="71"/>
      <c r="J19" s="91">
        <f t="shared" si="5"/>
        <v>3.5625707732202385</v>
      </c>
      <c r="K19" s="161"/>
    </row>
    <row r="20" spans="1:11" ht="12.75">
      <c r="A20" s="73">
        <v>11</v>
      </c>
      <c r="B20" s="71">
        <f t="shared" si="0"/>
        <v>0.011</v>
      </c>
      <c r="C20" s="71">
        <f t="shared" si="1"/>
        <v>0.023</v>
      </c>
      <c r="D20" s="119">
        <f t="shared" si="2"/>
        <v>0.0043478260869565235</v>
      </c>
      <c r="E20" s="132">
        <f t="shared" si="3"/>
        <v>0.04782608695652174</v>
      </c>
      <c r="F20" s="173"/>
      <c r="G20" s="144"/>
      <c r="H20" s="87">
        <f t="shared" si="4"/>
        <v>0.00012505105800198618</v>
      </c>
      <c r="I20" s="71"/>
      <c r="J20" s="162">
        <f t="shared" si="5"/>
        <v>3.902912629543389</v>
      </c>
      <c r="K20" s="163"/>
    </row>
    <row r="21" spans="1:13" s="116" customFormat="1" ht="30" customHeight="1">
      <c r="A21" s="109">
        <f>B21*1000</f>
        <v>12</v>
      </c>
      <c r="B21" s="110">
        <f>H7</f>
        <v>0.012</v>
      </c>
      <c r="C21" s="111">
        <f t="shared" si="1"/>
        <v>0.024</v>
      </c>
      <c r="D21" s="149">
        <f t="shared" si="2"/>
        <v>0</v>
      </c>
      <c r="E21" s="133">
        <f t="shared" si="3"/>
        <v>0.05</v>
      </c>
      <c r="F21" s="140">
        <f>($H$4*B21-$B$4*$B$5)/C21</f>
        <v>0</v>
      </c>
      <c r="G21" s="146"/>
      <c r="H21" s="112">
        <f>SQRT(B7*D7)</f>
        <v>5.342471338247871E-05</v>
      </c>
      <c r="I21" s="181">
        <f>(-B9+SQRT(B9^2+4*B9*E21))/2</f>
        <v>5.933873079806131E-07</v>
      </c>
      <c r="J21" s="141">
        <f t="shared" si="5"/>
        <v>4.272257799098227</v>
      </c>
      <c r="K21" s="134" t="s">
        <v>48</v>
      </c>
      <c r="M21"/>
    </row>
    <row r="22" spans="1:13" s="1" customFormat="1" ht="15.75">
      <c r="A22" s="73">
        <v>13</v>
      </c>
      <c r="B22" s="77">
        <f t="shared" si="0"/>
        <v>0.013</v>
      </c>
      <c r="C22" s="71">
        <f aca="true" t="shared" si="6" ref="C22:C37">A22/1000+$B$5</f>
        <v>0.025</v>
      </c>
      <c r="D22" s="78"/>
      <c r="E22" s="132">
        <f>($B$4*$B$5-(B22-$B$21)*$H$4)/C22</f>
        <v>0.04400000000000001</v>
      </c>
      <c r="F22" s="117">
        <f>($H$4*B22-$B$4*$B$5)/C22</f>
        <v>0.003999999999999993</v>
      </c>
      <c r="G22" s="147"/>
      <c r="H22" s="87">
        <f>$B$8/I22</f>
        <v>2.2110002773869455E-05</v>
      </c>
      <c r="I22" s="87">
        <f>(-($D$9+E22)+SQRT(($D$9+E22)^2+4*$D$9*F22))/2</f>
        <v>4.5228397763108497E-10</v>
      </c>
      <c r="J22" s="251">
        <f t="shared" si="5"/>
        <v>4.655411202935708</v>
      </c>
      <c r="K22" s="252" t="s">
        <v>50</v>
      </c>
      <c r="L22" s="267" t="s">
        <v>95</v>
      </c>
      <c r="M22"/>
    </row>
    <row r="23" spans="1:11" ht="15">
      <c r="A23" s="73">
        <v>14.5</v>
      </c>
      <c r="B23" s="77">
        <f t="shared" si="0"/>
        <v>0.0145</v>
      </c>
      <c r="C23" s="71">
        <f t="shared" si="6"/>
        <v>0.026500000000000003</v>
      </c>
      <c r="D23" s="78"/>
      <c r="E23" s="132">
        <f aca="true" t="shared" si="7" ref="E23:E31">($B$4*$B$5-(B23-$B$21)*$H$4)/C23</f>
        <v>0.035849056603773584</v>
      </c>
      <c r="F23" s="117">
        <f aca="true" t="shared" si="8" ref="F23:F30">($H$4*B23-$B$4*$B$5)/C23</f>
        <v>0.009433962264150943</v>
      </c>
      <c r="G23" s="147"/>
      <c r="H23" s="87">
        <f aca="true" t="shared" si="9" ref="H23:H31">$B$8/I23</f>
        <v>7.638001347075086E-06</v>
      </c>
      <c r="I23" s="87">
        <f aca="true" t="shared" si="10" ref="I23:I30">(-($D$9+E23)+SQRT(($D$9+E23)^2+4*$D$9*F23))/2</f>
        <v>1.3092430264927124E-09</v>
      </c>
      <c r="J23" s="253">
        <f aca="true" t="shared" si="11" ref="J23:J37">-LOG(H23)</f>
        <v>5.117020269368406</v>
      </c>
      <c r="K23" s="254" t="s">
        <v>51</v>
      </c>
    </row>
    <row r="24" spans="1:11" ht="12.75">
      <c r="A24" s="73">
        <v>16</v>
      </c>
      <c r="B24" s="76">
        <f t="shared" si="0"/>
        <v>0.016</v>
      </c>
      <c r="C24" s="71">
        <f t="shared" si="6"/>
        <v>0.028</v>
      </c>
      <c r="D24" s="78"/>
      <c r="E24" s="132">
        <f t="shared" si="7"/>
        <v>0.028571428571428577</v>
      </c>
      <c r="F24" s="117">
        <f t="shared" si="8"/>
        <v>0.014285714285714284</v>
      </c>
      <c r="G24" s="147"/>
      <c r="H24" s="87">
        <f t="shared" si="9"/>
        <v>4.020001050999705E-06</v>
      </c>
      <c r="I24" s="87">
        <f t="shared" si="10"/>
        <v>2.4875615386998895E-09</v>
      </c>
      <c r="J24" s="253">
        <f t="shared" si="11"/>
        <v>5.3957738333724174</v>
      </c>
      <c r="K24" s="255" t="s">
        <v>52</v>
      </c>
    </row>
    <row r="25" spans="1:11" ht="12.75">
      <c r="A25" s="237">
        <f>A21+(A31-A21)/2</f>
        <v>18</v>
      </c>
      <c r="B25" s="138">
        <f t="shared" si="0"/>
        <v>0.018</v>
      </c>
      <c r="C25" s="75">
        <f t="shared" si="6"/>
        <v>0.03</v>
      </c>
      <c r="D25" s="139"/>
      <c r="E25" s="183">
        <f>($B$4*$B$5-(B25-$B$21)*$H$4)/C25</f>
        <v>0.02000000000000001</v>
      </c>
      <c r="F25" s="184">
        <f>($H$4*B25-$B$4*$B$5)/C25</f>
        <v>0.019999999999999997</v>
      </c>
      <c r="G25" s="148"/>
      <c r="H25" s="88">
        <f t="shared" si="9"/>
        <v>2.0100009999727053E-06</v>
      </c>
      <c r="I25" s="88">
        <f>(-($D$9+E25)+SQRT(($D$9+E25)^2+4*$D$9*F25))/2</f>
        <v>4.975121902991986E-09</v>
      </c>
      <c r="J25" s="256">
        <f>-LOG(H25)</f>
        <v>5.696803726518556</v>
      </c>
      <c r="K25" s="257" t="s">
        <v>54</v>
      </c>
    </row>
    <row r="26" spans="1:11" ht="15.75">
      <c r="A26" s="73">
        <v>20</v>
      </c>
      <c r="B26" s="76">
        <f t="shared" si="0"/>
        <v>0.02</v>
      </c>
      <c r="C26" s="71">
        <f t="shared" si="6"/>
        <v>0.032</v>
      </c>
      <c r="D26" s="78"/>
      <c r="E26" s="132">
        <f t="shared" si="7"/>
        <v>0.012500000000000002</v>
      </c>
      <c r="F26" s="117">
        <f t="shared" si="8"/>
        <v>0.024999999999999998</v>
      </c>
      <c r="G26" s="147"/>
      <c r="H26" s="87">
        <f t="shared" si="9"/>
        <v>1.0050011999571111E-06</v>
      </c>
      <c r="I26" s="87">
        <f t="shared" si="10"/>
        <v>9.950236875763685E-09</v>
      </c>
      <c r="J26" s="258">
        <f t="shared" si="11"/>
        <v>5.99783341970176</v>
      </c>
      <c r="K26" s="259" t="s">
        <v>53</v>
      </c>
    </row>
    <row r="27" spans="1:15" ht="15.75">
      <c r="A27" s="73">
        <v>21.5</v>
      </c>
      <c r="B27" s="76">
        <f t="shared" si="0"/>
        <v>0.0215</v>
      </c>
      <c r="C27" s="71">
        <f t="shared" si="6"/>
        <v>0.0335</v>
      </c>
      <c r="D27" s="78"/>
      <c r="E27" s="132">
        <f t="shared" si="7"/>
        <v>0.007462686567164185</v>
      </c>
      <c r="F27" s="117">
        <f t="shared" si="8"/>
        <v>0.028358208955223875</v>
      </c>
      <c r="G27" s="147"/>
      <c r="H27" s="87">
        <f t="shared" si="9"/>
        <v>5.28949061042476E-07</v>
      </c>
      <c r="I27" s="87">
        <f t="shared" si="10"/>
        <v>1.890541213986005E-08</v>
      </c>
      <c r="J27" s="258">
        <f t="shared" si="11"/>
        <v>6.276586149464541</v>
      </c>
      <c r="K27" s="260"/>
      <c r="L27" s="264" t="s">
        <v>96</v>
      </c>
      <c r="O27" s="224" t="s">
        <v>92</v>
      </c>
    </row>
    <row r="28" spans="1:12" ht="14.25">
      <c r="A28" s="73">
        <v>23</v>
      </c>
      <c r="B28" s="76">
        <f t="shared" si="0"/>
        <v>0.023</v>
      </c>
      <c r="C28" s="71">
        <f t="shared" si="6"/>
        <v>0.035</v>
      </c>
      <c r="D28" s="78"/>
      <c r="E28" s="132">
        <f t="shared" si="7"/>
        <v>0.002857142857142858</v>
      </c>
      <c r="F28" s="117">
        <f t="shared" si="8"/>
        <v>0.031428571428571424</v>
      </c>
      <c r="G28" s="147"/>
      <c r="H28" s="87">
        <f t="shared" si="9"/>
        <v>1.8273109083602422E-07</v>
      </c>
      <c r="I28" s="87">
        <f t="shared" si="10"/>
        <v>5.4725224668929554E-08</v>
      </c>
      <c r="J28" s="258">
        <f t="shared" si="11"/>
        <v>6.738187553196133</v>
      </c>
      <c r="K28" s="260"/>
      <c r="L28" s="264" t="s">
        <v>100</v>
      </c>
    </row>
    <row r="29" spans="1:13" ht="15.75">
      <c r="A29" s="73">
        <v>23.5</v>
      </c>
      <c r="B29" s="76">
        <f t="shared" si="0"/>
        <v>0.0235</v>
      </c>
      <c r="C29" s="71">
        <f t="shared" si="6"/>
        <v>0.035500000000000004</v>
      </c>
      <c r="D29" s="78"/>
      <c r="E29" s="132">
        <f t="shared" si="7"/>
        <v>0.0014084507042253557</v>
      </c>
      <c r="F29" s="117">
        <f t="shared" si="8"/>
        <v>0.0323943661971831</v>
      </c>
      <c r="G29" s="147"/>
      <c r="H29" s="87">
        <f t="shared" si="9"/>
        <v>8.739871244163276E-08</v>
      </c>
      <c r="I29" s="87">
        <f t="shared" si="10"/>
        <v>1.1441816155676517E-07</v>
      </c>
      <c r="J29" s="258">
        <f t="shared" si="11"/>
        <v>7.058494965347438</v>
      </c>
      <c r="K29" s="260"/>
      <c r="M29" s="224" t="s">
        <v>92</v>
      </c>
    </row>
    <row r="30" spans="1:15" ht="15.75">
      <c r="A30" s="73">
        <v>23.9</v>
      </c>
      <c r="B30" s="76">
        <f t="shared" si="0"/>
        <v>0.023899999999999998</v>
      </c>
      <c r="C30" s="71">
        <f t="shared" si="6"/>
        <v>0.0359</v>
      </c>
      <c r="D30" s="78"/>
      <c r="E30" s="132">
        <f t="shared" si="7"/>
        <v>0.0002785515320334329</v>
      </c>
      <c r="F30" s="117">
        <f t="shared" si="8"/>
        <v>0.033147632311977704</v>
      </c>
      <c r="G30" s="147"/>
      <c r="H30" s="87">
        <f t="shared" si="9"/>
        <v>1.692688136602159E-08</v>
      </c>
      <c r="I30" s="87">
        <f t="shared" si="10"/>
        <v>5.907762796798256E-07</v>
      </c>
      <c r="J30" s="261">
        <f t="shared" si="11"/>
        <v>7.771423049586817</v>
      </c>
      <c r="K30" s="259"/>
      <c r="O30" s="224" t="s">
        <v>92</v>
      </c>
    </row>
    <row r="31" spans="1:13" s="116" customFormat="1" ht="30" customHeight="1">
      <c r="A31" s="109">
        <f>B31*1000</f>
        <v>24</v>
      </c>
      <c r="B31" s="110">
        <f>H8</f>
        <v>0.024</v>
      </c>
      <c r="C31" s="111">
        <f t="shared" si="6"/>
        <v>0.036000000000000004</v>
      </c>
      <c r="D31" s="167"/>
      <c r="E31" s="168">
        <f t="shared" si="7"/>
        <v>0</v>
      </c>
      <c r="F31" s="185">
        <f>($H$4*B31-$B$4*$B$5)/C31</f>
        <v>0.03333333333333333</v>
      </c>
      <c r="G31" s="174">
        <f aca="true" t="shared" si="12" ref="G31:G37">($H$4*(B31-$B$31))/C31</f>
        <v>0</v>
      </c>
      <c r="H31" s="169">
        <f t="shared" si="9"/>
        <v>7.766807608202009E-10</v>
      </c>
      <c r="I31" s="189">
        <f>(-($D$9)+SQRT(($D$9)^2+4*$D$9*F31))/2</f>
        <v>1.287530283283915E-05</v>
      </c>
      <c r="J31" s="113">
        <f t="shared" si="11"/>
        <v>9.109757452632396</v>
      </c>
      <c r="K31" s="114" t="s">
        <v>56</v>
      </c>
      <c r="L31" s="264" t="s">
        <v>97</v>
      </c>
      <c r="M31" s="115"/>
    </row>
    <row r="32" spans="1:11" ht="12.75">
      <c r="A32" s="73">
        <v>24.1</v>
      </c>
      <c r="B32" s="76">
        <f t="shared" si="0"/>
        <v>0.0241</v>
      </c>
      <c r="C32" s="71">
        <f t="shared" si="6"/>
        <v>0.0361</v>
      </c>
      <c r="D32" s="164"/>
      <c r="E32" s="165"/>
      <c r="F32" s="166">
        <f aca="true" t="shared" si="13" ref="F32:F37">$B$4*$B$5/C32</f>
        <v>0.0332409972299169</v>
      </c>
      <c r="G32" s="175">
        <f t="shared" si="12"/>
        <v>0.0002770083102493058</v>
      </c>
      <c r="H32" s="178">
        <f aca="true" t="shared" si="14" ref="H32:H37">$B$8/I32</f>
        <v>3.6100000000000217E-11</v>
      </c>
      <c r="I32" s="170">
        <f aca="true" t="shared" si="15" ref="I32:I37">G32</f>
        <v>0.0002770083102493058</v>
      </c>
      <c r="J32" s="190">
        <f t="shared" si="11"/>
        <v>10.442492798094339</v>
      </c>
      <c r="K32" s="192"/>
    </row>
    <row r="33" spans="1:11" ht="12.75">
      <c r="A33" s="73">
        <v>24.5</v>
      </c>
      <c r="B33" s="76">
        <f t="shared" si="0"/>
        <v>0.0245</v>
      </c>
      <c r="C33" s="71">
        <f t="shared" si="6"/>
        <v>0.036500000000000005</v>
      </c>
      <c r="D33" s="78"/>
      <c r="E33" s="76"/>
      <c r="F33" s="117">
        <f t="shared" si="13"/>
        <v>0.03287671232876712</v>
      </c>
      <c r="G33" s="176">
        <f t="shared" si="12"/>
        <v>0.0013698630136986312</v>
      </c>
      <c r="H33" s="179">
        <f t="shared" si="14"/>
        <v>7.299999999999994E-12</v>
      </c>
      <c r="I33" s="171">
        <f t="shared" si="15"/>
        <v>0.0013698630136986312</v>
      </c>
      <c r="J33" s="142">
        <f t="shared" si="11"/>
        <v>11.136677139879545</v>
      </c>
      <c r="K33" s="192"/>
    </row>
    <row r="34" spans="1:11" ht="12.75">
      <c r="A34" s="73">
        <v>25</v>
      </c>
      <c r="B34" s="76">
        <f t="shared" si="0"/>
        <v>0.025</v>
      </c>
      <c r="C34" s="71">
        <f t="shared" si="6"/>
        <v>0.037000000000000005</v>
      </c>
      <c r="D34" s="78"/>
      <c r="E34" s="76"/>
      <c r="F34" s="117">
        <f t="shared" si="13"/>
        <v>0.032432432432432434</v>
      </c>
      <c r="G34" s="176">
        <f t="shared" si="12"/>
        <v>0.002702702702702705</v>
      </c>
      <c r="H34" s="179">
        <f t="shared" si="14"/>
        <v>3.699999999999997E-12</v>
      </c>
      <c r="I34" s="171">
        <f t="shared" si="15"/>
        <v>0.002702702702702705</v>
      </c>
      <c r="J34" s="142">
        <f t="shared" si="11"/>
        <v>11.431798275933005</v>
      </c>
      <c r="K34" s="192" t="s">
        <v>24</v>
      </c>
    </row>
    <row r="35" spans="1:11" ht="12.75">
      <c r="A35" s="73">
        <v>26</v>
      </c>
      <c r="B35" s="76">
        <f t="shared" si="0"/>
        <v>0.026</v>
      </c>
      <c r="C35" s="71">
        <f t="shared" si="6"/>
        <v>0.038</v>
      </c>
      <c r="D35" s="78"/>
      <c r="E35" s="76"/>
      <c r="F35" s="117">
        <f t="shared" si="13"/>
        <v>0.031578947368421054</v>
      </c>
      <c r="G35" s="176">
        <f t="shared" si="12"/>
        <v>0.0052631578947368385</v>
      </c>
      <c r="H35" s="179">
        <f t="shared" si="14"/>
        <v>1.900000000000001E-12</v>
      </c>
      <c r="I35" s="171">
        <f t="shared" si="15"/>
        <v>0.0052631578947368385</v>
      </c>
      <c r="J35" s="142">
        <f t="shared" si="11"/>
        <v>11.721246399047171</v>
      </c>
      <c r="K35" s="192" t="s">
        <v>25</v>
      </c>
    </row>
    <row r="36" spans="1:16" ht="15.75">
      <c r="A36" s="73">
        <v>28</v>
      </c>
      <c r="B36" s="76">
        <f t="shared" si="0"/>
        <v>0.028</v>
      </c>
      <c r="C36" s="71">
        <f t="shared" si="6"/>
        <v>0.04</v>
      </c>
      <c r="D36" s="78"/>
      <c r="E36" s="76"/>
      <c r="F36" s="117">
        <f t="shared" si="13"/>
        <v>0.030000000000000002</v>
      </c>
      <c r="G36" s="176">
        <f t="shared" si="12"/>
        <v>0.01</v>
      </c>
      <c r="H36" s="179">
        <f t="shared" si="14"/>
        <v>1E-12</v>
      </c>
      <c r="I36" s="171">
        <f t="shared" si="15"/>
        <v>0.01</v>
      </c>
      <c r="J36" s="142">
        <f t="shared" si="11"/>
        <v>12</v>
      </c>
      <c r="K36" s="192"/>
      <c r="L36" s="264" t="s">
        <v>98</v>
      </c>
      <c r="P36" s="224" t="s">
        <v>92</v>
      </c>
    </row>
    <row r="37" spans="1:12" ht="14.25">
      <c r="A37" s="81">
        <v>30</v>
      </c>
      <c r="B37" s="82">
        <f t="shared" si="0"/>
        <v>0.03</v>
      </c>
      <c r="C37" s="83">
        <f t="shared" si="6"/>
        <v>0.041999999999999996</v>
      </c>
      <c r="D37" s="84"/>
      <c r="E37" s="82"/>
      <c r="F37" s="118">
        <f t="shared" si="13"/>
        <v>0.028571428571428577</v>
      </c>
      <c r="G37" s="177">
        <f t="shared" si="12"/>
        <v>0.014285714285714284</v>
      </c>
      <c r="H37" s="180">
        <f t="shared" si="14"/>
        <v>7.000000000000001E-13</v>
      </c>
      <c r="I37" s="172">
        <f t="shared" si="15"/>
        <v>0.014285714285714284</v>
      </c>
      <c r="J37" s="193">
        <f t="shared" si="11"/>
        <v>12.154901959985743</v>
      </c>
      <c r="K37" s="194"/>
      <c r="L37" s="267" t="s">
        <v>99</v>
      </c>
    </row>
    <row r="38" ht="12.75">
      <c r="C38" s="4"/>
    </row>
  </sheetData>
  <printOptions/>
  <pageMargins left="0.75" right="0.75" top="1" bottom="1" header="0.5" footer="0.5"/>
  <pageSetup horizontalDpi="600" verticalDpi="600" orientation="portrait" paperSize="9" scale="70" r:id="rId4"/>
  <drawing r:id="rId3"/>
  <legacyDrawing r:id="rId2"/>
  <oleObjects>
    <oleObject progId="Equation.3" shapeId="665597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34" sqref="K34:K35"/>
    </sheetView>
  </sheetViews>
  <sheetFormatPr defaultColWidth="9.140625" defaultRowHeight="12.75"/>
  <cols>
    <col min="1" max="1" width="8.00390625" style="2" customWidth="1"/>
    <col min="2" max="2" width="10.140625" style="2" customWidth="1"/>
    <col min="3" max="3" width="9.421875" style="2" customWidth="1"/>
    <col min="4" max="4" width="11.140625" style="0" customWidth="1"/>
    <col min="5" max="5" width="11.00390625" style="0" customWidth="1"/>
    <col min="6" max="6" width="11.140625" style="0" customWidth="1"/>
    <col min="7" max="7" width="10.8515625" style="0" customWidth="1"/>
    <col min="8" max="8" width="7.57421875" style="0" customWidth="1"/>
    <col min="9" max="9" width="9.7109375" style="0" customWidth="1"/>
    <col min="10" max="10" width="6.8515625" style="0" customWidth="1"/>
    <col min="11" max="11" width="26.00390625" style="0" customWidth="1"/>
    <col min="12" max="12" width="9.421875" style="0" customWidth="1"/>
    <col min="13" max="13" width="8.8515625" style="0" customWidth="1"/>
  </cols>
  <sheetData>
    <row r="1" ht="21">
      <c r="A1" s="6" t="s">
        <v>38</v>
      </c>
    </row>
    <row r="3" spans="1:9" ht="12.75">
      <c r="A3" s="7" t="s">
        <v>14</v>
      </c>
      <c r="B3" s="8"/>
      <c r="C3" s="9"/>
      <c r="F3" s="2"/>
      <c r="G3" s="16" t="s">
        <v>15</v>
      </c>
      <c r="H3" s="17"/>
      <c r="I3" s="18"/>
    </row>
    <row r="4" spans="1:9" ht="15.75">
      <c r="A4" s="10" t="s">
        <v>6</v>
      </c>
      <c r="B4" s="11">
        <v>0.1</v>
      </c>
      <c r="C4" s="12" t="s">
        <v>17</v>
      </c>
      <c r="F4" s="2"/>
      <c r="G4" s="19" t="s">
        <v>8</v>
      </c>
      <c r="H4" s="20">
        <v>0.1</v>
      </c>
      <c r="I4" s="21" t="s">
        <v>9</v>
      </c>
    </row>
    <row r="5" spans="1:6" ht="15.75">
      <c r="A5" s="13" t="s">
        <v>7</v>
      </c>
      <c r="B5" s="14">
        <v>0.012</v>
      </c>
      <c r="C5" s="15" t="s">
        <v>16</v>
      </c>
      <c r="F5" s="2"/>
    </row>
    <row r="7" spans="1:9" ht="14.25">
      <c r="A7" s="22" t="s">
        <v>10</v>
      </c>
      <c r="B7" s="23">
        <v>0.00142</v>
      </c>
      <c r="C7" s="22" t="s">
        <v>10</v>
      </c>
      <c r="D7" s="120">
        <v>2.01E-06</v>
      </c>
      <c r="G7" s="121" t="s">
        <v>40</v>
      </c>
      <c r="H7" s="122"/>
      <c r="I7" s="123" t="s">
        <v>12</v>
      </c>
    </row>
    <row r="8" spans="1:9" ht="15.75">
      <c r="A8" s="24" t="s">
        <v>3</v>
      </c>
      <c r="B8" s="25">
        <f>10^-14</f>
        <v>1E-14</v>
      </c>
      <c r="C8" s="24" t="s">
        <v>3</v>
      </c>
      <c r="D8" s="25">
        <f>10^-14</f>
        <v>1E-14</v>
      </c>
      <c r="G8" s="28" t="s">
        <v>40</v>
      </c>
      <c r="H8" s="29"/>
      <c r="I8" s="30" t="s">
        <v>12</v>
      </c>
    </row>
    <row r="9" spans="1:7" ht="12.75">
      <c r="A9" s="26" t="s">
        <v>11</v>
      </c>
      <c r="B9" s="238"/>
      <c r="C9" s="26" t="s">
        <v>11</v>
      </c>
      <c r="D9" s="238"/>
      <c r="F9" s="5" t="s">
        <v>1</v>
      </c>
      <c r="G9" s="2"/>
    </row>
    <row r="11" spans="1:10" s="129" customFormat="1" ht="33.75" customHeight="1">
      <c r="A11" s="124" t="s">
        <v>13</v>
      </c>
      <c r="B11" s="125" t="s">
        <v>18</v>
      </c>
      <c r="C11" s="126" t="s">
        <v>55</v>
      </c>
      <c r="D11" s="127" t="s">
        <v>41</v>
      </c>
      <c r="E11" s="131" t="s">
        <v>42</v>
      </c>
      <c r="F11" s="130" t="s">
        <v>43</v>
      </c>
      <c r="G11" s="143" t="s">
        <v>35</v>
      </c>
      <c r="H11" s="128" t="s">
        <v>4</v>
      </c>
      <c r="I11" s="128" t="s">
        <v>5</v>
      </c>
      <c r="J11" s="155" t="s">
        <v>2</v>
      </c>
    </row>
    <row r="12" spans="1:11" ht="15.75">
      <c r="A12" s="69">
        <v>0</v>
      </c>
      <c r="B12" s="70"/>
      <c r="C12" s="71"/>
      <c r="D12" s="186"/>
      <c r="E12" s="187"/>
      <c r="F12" s="173"/>
      <c r="G12" s="144"/>
      <c r="H12" s="87"/>
      <c r="I12" s="71"/>
      <c r="J12" s="156"/>
      <c r="K12" s="157" t="s">
        <v>44</v>
      </c>
    </row>
    <row r="13" spans="1:11" ht="12.75" customHeight="1">
      <c r="A13" s="73">
        <v>1.5</v>
      </c>
      <c r="B13" s="71"/>
      <c r="C13" s="71"/>
      <c r="D13" s="119"/>
      <c r="E13" s="132"/>
      <c r="F13" s="173"/>
      <c r="G13" s="144"/>
      <c r="H13" s="87"/>
      <c r="I13" s="71"/>
      <c r="J13" s="158"/>
      <c r="K13" s="159" t="s">
        <v>45</v>
      </c>
    </row>
    <row r="14" spans="1:11" ht="12.75" customHeight="1">
      <c r="A14" s="73">
        <v>3</v>
      </c>
      <c r="B14" s="71"/>
      <c r="C14" s="71"/>
      <c r="D14" s="119"/>
      <c r="E14" s="132"/>
      <c r="F14" s="173"/>
      <c r="G14" s="144"/>
      <c r="H14" s="87"/>
      <c r="I14" s="71"/>
      <c r="J14" s="91"/>
      <c r="K14" s="160" t="s">
        <v>46</v>
      </c>
    </row>
    <row r="15" spans="1:11" ht="12.75">
      <c r="A15" s="73">
        <v>4.5</v>
      </c>
      <c r="B15" s="71"/>
      <c r="C15" s="71"/>
      <c r="D15" s="119"/>
      <c r="E15" s="132"/>
      <c r="F15" s="173"/>
      <c r="G15" s="144"/>
      <c r="H15" s="87"/>
      <c r="I15" s="71"/>
      <c r="J15" s="91"/>
      <c r="K15" s="161" t="s">
        <v>39</v>
      </c>
    </row>
    <row r="16" spans="1:11" ht="12.75">
      <c r="A16" s="74">
        <f>A21/2</f>
        <v>0</v>
      </c>
      <c r="B16" s="75"/>
      <c r="C16" s="75"/>
      <c r="D16" s="182"/>
      <c r="E16" s="183"/>
      <c r="F16" s="135"/>
      <c r="G16" s="145"/>
      <c r="H16" s="89"/>
      <c r="I16" s="75"/>
      <c r="J16" s="92"/>
      <c r="K16" s="93" t="s">
        <v>49</v>
      </c>
    </row>
    <row r="17" spans="1:11" ht="15.75">
      <c r="A17" s="73">
        <v>7.5</v>
      </c>
      <c r="B17" s="71"/>
      <c r="C17" s="71"/>
      <c r="D17" s="119"/>
      <c r="E17" s="132"/>
      <c r="F17" s="173"/>
      <c r="G17" s="144"/>
      <c r="H17" s="87"/>
      <c r="I17" s="71"/>
      <c r="J17" s="91"/>
      <c r="K17" s="94" t="s">
        <v>47</v>
      </c>
    </row>
    <row r="18" spans="1:11" ht="12.75">
      <c r="A18" s="73">
        <v>9</v>
      </c>
      <c r="B18" s="71"/>
      <c r="C18" s="71"/>
      <c r="D18" s="119"/>
      <c r="E18" s="132"/>
      <c r="F18" s="173"/>
      <c r="G18" s="144"/>
      <c r="H18" s="87"/>
      <c r="I18" s="71"/>
      <c r="J18" s="91"/>
      <c r="K18" s="161"/>
    </row>
    <row r="19" spans="1:11" ht="12.75">
      <c r="A19" s="73">
        <v>10</v>
      </c>
      <c r="B19" s="71"/>
      <c r="C19" s="71"/>
      <c r="D19" s="119"/>
      <c r="E19" s="132"/>
      <c r="F19" s="173"/>
      <c r="G19" s="144"/>
      <c r="H19" s="87"/>
      <c r="I19" s="71"/>
      <c r="J19" s="91"/>
      <c r="K19" s="161"/>
    </row>
    <row r="20" spans="1:11" ht="12.75">
      <c r="A20" s="73">
        <v>11</v>
      </c>
      <c r="B20" s="71"/>
      <c r="C20" s="71"/>
      <c r="D20" s="119"/>
      <c r="E20" s="132"/>
      <c r="F20" s="173"/>
      <c r="G20" s="144"/>
      <c r="H20" s="87"/>
      <c r="I20" s="71"/>
      <c r="J20" s="162"/>
      <c r="K20" s="163"/>
    </row>
    <row r="21" spans="1:13" s="116" customFormat="1" ht="30" customHeight="1">
      <c r="A21" s="109">
        <f>B21*1000</f>
        <v>0</v>
      </c>
      <c r="B21" s="110"/>
      <c r="C21" s="111"/>
      <c r="D21" s="149"/>
      <c r="E21" s="133"/>
      <c r="F21" s="140"/>
      <c r="G21" s="146"/>
      <c r="H21" s="112"/>
      <c r="I21" s="181"/>
      <c r="J21" s="141"/>
      <c r="K21" s="134" t="s">
        <v>48</v>
      </c>
      <c r="L21" s="115"/>
      <c r="M21" s="115"/>
    </row>
    <row r="22" spans="1:13" s="1" customFormat="1" ht="15">
      <c r="A22" s="73">
        <v>13</v>
      </c>
      <c r="B22" s="77"/>
      <c r="C22" s="71"/>
      <c r="D22" s="78"/>
      <c r="E22" s="132"/>
      <c r="F22" s="117"/>
      <c r="G22" s="147"/>
      <c r="H22" s="87"/>
      <c r="I22" s="87"/>
      <c r="J22" s="251"/>
      <c r="K22" s="252" t="s">
        <v>50</v>
      </c>
      <c r="L22"/>
      <c r="M22"/>
    </row>
    <row r="23" spans="1:11" ht="15">
      <c r="A23" s="73">
        <v>14.5</v>
      </c>
      <c r="B23" s="77"/>
      <c r="C23" s="71"/>
      <c r="D23" s="78"/>
      <c r="E23" s="132"/>
      <c r="F23" s="117"/>
      <c r="G23" s="147"/>
      <c r="H23" s="87"/>
      <c r="I23" s="87"/>
      <c r="J23" s="253"/>
      <c r="K23" s="254" t="s">
        <v>51</v>
      </c>
    </row>
    <row r="24" spans="1:11" ht="12.75">
      <c r="A24" s="73">
        <v>16</v>
      </c>
      <c r="B24" s="76"/>
      <c r="C24" s="71"/>
      <c r="D24" s="78"/>
      <c r="E24" s="132"/>
      <c r="F24" s="117"/>
      <c r="G24" s="147"/>
      <c r="H24" s="87"/>
      <c r="I24" s="87"/>
      <c r="J24" s="253"/>
      <c r="K24" s="255" t="s">
        <v>52</v>
      </c>
    </row>
    <row r="25" spans="1:11" ht="12.75">
      <c r="A25" s="237">
        <f>A21+(A31-A21)/2</f>
        <v>0</v>
      </c>
      <c r="B25" s="138"/>
      <c r="C25" s="75"/>
      <c r="D25" s="139"/>
      <c r="E25" s="183"/>
      <c r="F25" s="184"/>
      <c r="G25" s="148"/>
      <c r="H25" s="88"/>
      <c r="I25" s="88"/>
      <c r="J25" s="256"/>
      <c r="K25" s="257" t="s">
        <v>54</v>
      </c>
    </row>
    <row r="26" spans="1:11" ht="15.75">
      <c r="A26" s="73">
        <v>20</v>
      </c>
      <c r="B26" s="76"/>
      <c r="C26" s="71"/>
      <c r="D26" s="78"/>
      <c r="E26" s="132"/>
      <c r="F26" s="117"/>
      <c r="G26" s="147"/>
      <c r="H26" s="87"/>
      <c r="I26" s="87"/>
      <c r="J26" s="258"/>
      <c r="K26" s="259" t="s">
        <v>53</v>
      </c>
    </row>
    <row r="27" spans="1:11" ht="12.75">
      <c r="A27" s="73">
        <v>21.5</v>
      </c>
      <c r="B27" s="76"/>
      <c r="C27" s="71"/>
      <c r="D27" s="78"/>
      <c r="E27" s="132"/>
      <c r="F27" s="117"/>
      <c r="G27" s="147"/>
      <c r="H27" s="87"/>
      <c r="I27" s="87"/>
      <c r="J27" s="258"/>
      <c r="K27" s="260"/>
    </row>
    <row r="28" spans="1:11" ht="12.75">
      <c r="A28" s="73">
        <v>23</v>
      </c>
      <c r="B28" s="76"/>
      <c r="C28" s="71"/>
      <c r="D28" s="78"/>
      <c r="E28" s="132"/>
      <c r="F28" s="117"/>
      <c r="G28" s="147"/>
      <c r="H28" s="87"/>
      <c r="I28" s="87"/>
      <c r="J28" s="258"/>
      <c r="K28" s="260"/>
    </row>
    <row r="29" spans="1:11" ht="12.75">
      <c r="A29" s="73">
        <v>23.5</v>
      </c>
      <c r="B29" s="76"/>
      <c r="C29" s="71"/>
      <c r="D29" s="78"/>
      <c r="E29" s="132"/>
      <c r="F29" s="117"/>
      <c r="G29" s="147"/>
      <c r="H29" s="87"/>
      <c r="I29" s="87"/>
      <c r="J29" s="258"/>
      <c r="K29" s="260"/>
    </row>
    <row r="30" spans="1:11" ht="12.75">
      <c r="A30" s="73">
        <v>23.9</v>
      </c>
      <c r="B30" s="76"/>
      <c r="C30" s="71"/>
      <c r="D30" s="78"/>
      <c r="E30" s="132"/>
      <c r="F30" s="117"/>
      <c r="G30" s="147"/>
      <c r="H30" s="87"/>
      <c r="I30" s="87"/>
      <c r="J30" s="261"/>
      <c r="K30" s="259"/>
    </row>
    <row r="31" spans="1:13" s="116" customFormat="1" ht="30" customHeight="1">
      <c r="A31" s="109">
        <f>B31*1000</f>
        <v>0</v>
      </c>
      <c r="B31" s="110"/>
      <c r="C31" s="111"/>
      <c r="D31" s="167"/>
      <c r="E31" s="168"/>
      <c r="F31" s="185"/>
      <c r="G31" s="174"/>
      <c r="H31" s="169"/>
      <c r="I31" s="189"/>
      <c r="J31" s="113"/>
      <c r="K31" s="114" t="s">
        <v>56</v>
      </c>
      <c r="L31" s="115"/>
      <c r="M31" s="115"/>
    </row>
    <row r="32" spans="1:11" ht="12.75">
      <c r="A32" s="73">
        <v>24.1</v>
      </c>
      <c r="B32" s="76"/>
      <c r="C32" s="71"/>
      <c r="D32" s="164"/>
      <c r="E32" s="165"/>
      <c r="F32" s="166"/>
      <c r="G32" s="175"/>
      <c r="H32" s="178"/>
      <c r="I32" s="170"/>
      <c r="J32" s="190"/>
      <c r="K32" s="191"/>
    </row>
    <row r="33" spans="1:11" ht="12.75">
      <c r="A33" s="73">
        <v>24.5</v>
      </c>
      <c r="B33" s="76"/>
      <c r="C33" s="71"/>
      <c r="D33" s="78"/>
      <c r="E33" s="76"/>
      <c r="F33" s="117"/>
      <c r="G33" s="176"/>
      <c r="H33" s="179"/>
      <c r="I33" s="171"/>
      <c r="J33" s="142"/>
      <c r="K33" s="192"/>
    </row>
    <row r="34" spans="1:11" ht="12.75">
      <c r="A34" s="73">
        <v>25</v>
      </c>
      <c r="B34" s="76"/>
      <c r="C34" s="71"/>
      <c r="D34" s="78"/>
      <c r="E34" s="76"/>
      <c r="F34" s="117"/>
      <c r="G34" s="176"/>
      <c r="H34" s="179"/>
      <c r="I34" s="171"/>
      <c r="J34" s="142"/>
      <c r="K34" s="192" t="s">
        <v>24</v>
      </c>
    </row>
    <row r="35" spans="1:11" ht="12.75">
      <c r="A35" s="73">
        <v>26</v>
      </c>
      <c r="B35" s="76"/>
      <c r="C35" s="71"/>
      <c r="D35" s="78"/>
      <c r="E35" s="76"/>
      <c r="F35" s="117"/>
      <c r="G35" s="176"/>
      <c r="H35" s="179"/>
      <c r="I35" s="171"/>
      <c r="J35" s="142"/>
      <c r="K35" s="192" t="s">
        <v>25</v>
      </c>
    </row>
    <row r="36" spans="1:11" ht="12.75">
      <c r="A36" s="73">
        <v>28</v>
      </c>
      <c r="B36" s="76"/>
      <c r="C36" s="71"/>
      <c r="D36" s="78"/>
      <c r="E36" s="76"/>
      <c r="F36" s="117"/>
      <c r="G36" s="176"/>
      <c r="H36" s="179"/>
      <c r="I36" s="171"/>
      <c r="J36" s="142"/>
      <c r="K36" s="192"/>
    </row>
    <row r="37" spans="1:11" ht="12.75">
      <c r="A37" s="81">
        <v>30</v>
      </c>
      <c r="B37" s="82"/>
      <c r="C37" s="83"/>
      <c r="D37" s="84"/>
      <c r="E37" s="82"/>
      <c r="F37" s="118"/>
      <c r="G37" s="177"/>
      <c r="H37" s="180"/>
      <c r="I37" s="172"/>
      <c r="J37" s="193"/>
      <c r="K37" s="194"/>
    </row>
    <row r="38" ht="12.75">
      <c r="C38" s="4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J8" sqref="J8"/>
    </sheetView>
  </sheetViews>
  <sheetFormatPr defaultColWidth="9.140625" defaultRowHeight="12.75"/>
  <cols>
    <col min="6" max="6" width="11.421875" style="0" customWidth="1"/>
  </cols>
  <sheetData>
    <row r="1" ht="12.75">
      <c r="A1" s="1" t="s">
        <v>87</v>
      </c>
    </row>
    <row r="2" ht="12.75">
      <c r="A2" s="208"/>
    </row>
    <row r="3" spans="1:6" ht="15.75">
      <c r="A3" t="s">
        <v>76</v>
      </c>
      <c r="B3" s="235">
        <v>2</v>
      </c>
      <c r="C3" t="s">
        <v>78</v>
      </c>
      <c r="D3" s="235">
        <v>5</v>
      </c>
      <c r="E3" t="s">
        <v>80</v>
      </c>
      <c r="F3" s="235">
        <v>8</v>
      </c>
    </row>
    <row r="4" spans="1:6" ht="15.75">
      <c r="A4" s="208" t="s">
        <v>77</v>
      </c>
      <c r="B4" s="207">
        <f>10^-B3</f>
        <v>0.01</v>
      </c>
      <c r="C4" s="208" t="s">
        <v>79</v>
      </c>
      <c r="D4" s="207">
        <f>10^-D3</f>
        <v>1E-05</v>
      </c>
      <c r="E4" s="208" t="s">
        <v>81</v>
      </c>
      <c r="F4" s="207">
        <f>10^-F3</f>
        <v>1E-08</v>
      </c>
    </row>
    <row r="6" spans="3:6" ht="12.75">
      <c r="C6" s="268" t="s">
        <v>71</v>
      </c>
      <c r="D6" s="269"/>
      <c r="E6" s="269"/>
      <c r="F6" s="270"/>
    </row>
    <row r="7" spans="3:6" ht="15">
      <c r="C7" s="231" t="s">
        <v>72</v>
      </c>
      <c r="D7" s="232" t="s">
        <v>73</v>
      </c>
      <c r="E7" s="233" t="s">
        <v>74</v>
      </c>
      <c r="F7" s="234" t="s">
        <v>75</v>
      </c>
    </row>
    <row r="8" spans="1:6" ht="15">
      <c r="A8" s="1" t="s">
        <v>2</v>
      </c>
      <c r="B8" s="1" t="s">
        <v>62</v>
      </c>
      <c r="C8" s="236" t="s">
        <v>63</v>
      </c>
      <c r="D8" s="236" t="s">
        <v>64</v>
      </c>
      <c r="E8" s="236" t="s">
        <v>65</v>
      </c>
      <c r="F8" s="236" t="s">
        <v>66</v>
      </c>
    </row>
    <row r="9" spans="1:6" ht="12.75">
      <c r="A9">
        <v>0</v>
      </c>
      <c r="B9">
        <f>10^-A9</f>
        <v>1</v>
      </c>
      <c r="C9" s="225">
        <f aca="true" t="shared" si="0" ref="C9:C40">$B9^3/($B9^3+$B9^2*$B$4+$B9*$B$4*$D$4+$B$4*$D$4*$F$4)</f>
        <v>0.9900989118713938</v>
      </c>
      <c r="D9" s="226">
        <f aca="true" t="shared" si="1" ref="D9:D40">$B9^2*$B$4/($B9^3+$B9^2*$B$4+$B9*$B$4*$D$4+$B$4*$D$4*$F$4)</f>
        <v>0.009900989118713937</v>
      </c>
      <c r="E9" s="226">
        <f aca="true" t="shared" si="2" ref="E9:E40">$B9*$B$4*$D$4/($B9^3+$B9^2*$B$4+$B9*$B$4*$D$4+$B$4*$D$4*$F$4)</f>
        <v>9.900989118713938E-08</v>
      </c>
      <c r="F9" s="227">
        <f aca="true" t="shared" si="3" ref="F9:F40">$B$4*$D$4*$F$4/($B9^3+$B9^2*$B$4+$B9*$B$4*$D$4+$B$4*$D$4*$F$4)</f>
        <v>9.900989118713939E-16</v>
      </c>
    </row>
    <row r="10" spans="1:6" ht="12.75">
      <c r="A10">
        <v>0.2</v>
      </c>
      <c r="B10">
        <f aca="true" t="shared" si="4" ref="B10:B73">10^-A10</f>
        <v>0.6309573444801932</v>
      </c>
      <c r="C10" s="225">
        <f t="shared" si="0"/>
        <v>0.9843980943463619</v>
      </c>
      <c r="D10" s="226">
        <f t="shared" si="1"/>
        <v>0.01560165838401242</v>
      </c>
      <c r="E10" s="226">
        <f t="shared" si="2"/>
        <v>2.4726962163925144E-07</v>
      </c>
      <c r="F10" s="227">
        <f t="shared" si="3"/>
        <v>3.918959400384848E-15</v>
      </c>
    </row>
    <row r="11" spans="1:6" ht="12.75">
      <c r="A11">
        <v>0.4</v>
      </c>
      <c r="B11">
        <f t="shared" si="4"/>
        <v>0.3981071705534972</v>
      </c>
      <c r="C11" s="225">
        <f t="shared" si="0"/>
        <v>0.9754960320349972</v>
      </c>
      <c r="D11" s="226">
        <f t="shared" si="1"/>
        <v>0.02450335246860145</v>
      </c>
      <c r="E11" s="226">
        <f t="shared" si="2"/>
        <v>6.154963859237676E-07</v>
      </c>
      <c r="F11" s="227">
        <f t="shared" si="3"/>
        <v>1.546057020445096E-14</v>
      </c>
    </row>
    <row r="12" spans="1:6" ht="12.75">
      <c r="A12">
        <v>0.6</v>
      </c>
      <c r="B12">
        <f t="shared" si="4"/>
        <v>0.251188643150958</v>
      </c>
      <c r="C12" s="225">
        <f t="shared" si="0"/>
        <v>0.9617120302635418</v>
      </c>
      <c r="D12" s="226">
        <f t="shared" si="1"/>
        <v>0.03828644552554779</v>
      </c>
      <c r="E12" s="226">
        <f t="shared" si="2"/>
        <v>1.5242108498726436E-06</v>
      </c>
      <c r="F12" s="227">
        <f t="shared" si="3"/>
        <v>6.067992687697396E-14</v>
      </c>
    </row>
    <row r="13" spans="1:6" ht="12.75">
      <c r="A13">
        <v>0.8</v>
      </c>
      <c r="B13">
        <f t="shared" si="4"/>
        <v>0.15848931924611132</v>
      </c>
      <c r="C13" s="225">
        <f t="shared" si="0"/>
        <v>0.9406455343757539</v>
      </c>
      <c r="D13" s="226">
        <f t="shared" si="1"/>
        <v>0.05935072084668782</v>
      </c>
      <c r="E13" s="226">
        <f t="shared" si="2"/>
        <v>3.7447773218411405E-06</v>
      </c>
      <c r="F13" s="227">
        <f t="shared" si="3"/>
        <v>2.362794754658536E-13</v>
      </c>
    </row>
    <row r="14" spans="1:6" ht="12.75">
      <c r="A14">
        <v>1</v>
      </c>
      <c r="B14">
        <f t="shared" si="4"/>
        <v>0.1</v>
      </c>
      <c r="C14" s="225">
        <f t="shared" si="0"/>
        <v>0.9090826447024035</v>
      </c>
      <c r="D14" s="226">
        <f t="shared" si="1"/>
        <v>0.09090826447024035</v>
      </c>
      <c r="E14" s="226">
        <f t="shared" si="2"/>
        <v>9.090826447024034E-06</v>
      </c>
      <c r="F14" s="227">
        <f t="shared" si="3"/>
        <v>9.090826447024034E-13</v>
      </c>
    </row>
    <row r="15" spans="1:6" ht="12.75">
      <c r="A15">
        <v>1.2</v>
      </c>
      <c r="B15">
        <f t="shared" si="4"/>
        <v>0.06309573444801932</v>
      </c>
      <c r="C15" s="225">
        <f t="shared" si="0"/>
        <v>0.8631743956748567</v>
      </c>
      <c r="D15" s="226">
        <f t="shared" si="1"/>
        <v>0.13680392236118163</v>
      </c>
      <c r="E15" s="226">
        <f t="shared" si="2"/>
        <v>2.168196052522155E-05</v>
      </c>
      <c r="F15" s="227">
        <f t="shared" si="3"/>
        <v>3.4363591635634227E-12</v>
      </c>
    </row>
    <row r="16" spans="1:6" ht="12.75">
      <c r="A16">
        <v>1.4</v>
      </c>
      <c r="B16">
        <f t="shared" si="4"/>
        <v>0.03981071705534973</v>
      </c>
      <c r="C16" s="225">
        <f t="shared" si="0"/>
        <v>0.7991996885279989</v>
      </c>
      <c r="D16" s="226">
        <f t="shared" si="1"/>
        <v>0.20074988536801633</v>
      </c>
      <c r="E16" s="226">
        <f t="shared" si="2"/>
        <v>5.0426091318302375E-05</v>
      </c>
      <c r="F16" s="227">
        <f t="shared" si="3"/>
        <v>1.2666461457650677E-11</v>
      </c>
    </row>
    <row r="17" spans="1:6" ht="12.75">
      <c r="A17">
        <v>1.6</v>
      </c>
      <c r="B17">
        <f t="shared" si="4"/>
        <v>0.02511886431509578</v>
      </c>
      <c r="C17" s="225">
        <f t="shared" si="0"/>
        <v>0.7151716792114353</v>
      </c>
      <c r="D17" s="226">
        <f t="shared" si="1"/>
        <v>0.28471497367085813</v>
      </c>
      <c r="E17" s="226">
        <f t="shared" si="2"/>
        <v>0.0001133470725823189</v>
      </c>
      <c r="F17" s="227">
        <f t="shared" si="3"/>
        <v>4.51242823562689E-11</v>
      </c>
    </row>
    <row r="18" spans="1:6" ht="12.75">
      <c r="A18">
        <v>1.8</v>
      </c>
      <c r="B18">
        <f t="shared" si="4"/>
        <v>0.015848931924611124</v>
      </c>
      <c r="C18" s="225">
        <f t="shared" si="0"/>
        <v>0.6129871934618158</v>
      </c>
      <c r="D18" s="226">
        <f t="shared" si="1"/>
        <v>0.386768771787034</v>
      </c>
      <c r="E18" s="226">
        <f t="shared" si="2"/>
        <v>0.00024403459717461302</v>
      </c>
      <c r="F18" s="227">
        <f t="shared" si="3"/>
        <v>1.5397542139458762E-10</v>
      </c>
    </row>
    <row r="19" spans="1:6" ht="12.75">
      <c r="A19">
        <v>2</v>
      </c>
      <c r="B19">
        <f t="shared" si="4"/>
        <v>0.01</v>
      </c>
      <c r="C19" s="225">
        <f t="shared" si="0"/>
        <v>0.49975012468778107</v>
      </c>
      <c r="D19" s="226">
        <f t="shared" si="1"/>
        <v>0.49975012468778107</v>
      </c>
      <c r="E19" s="226">
        <f t="shared" si="2"/>
        <v>0.000499750124687781</v>
      </c>
      <c r="F19" s="227">
        <f t="shared" si="3"/>
        <v>4.99750124687781E-10</v>
      </c>
    </row>
    <row r="20" spans="1:6" ht="12.75">
      <c r="A20">
        <v>2.2</v>
      </c>
      <c r="B20">
        <f t="shared" si="4"/>
        <v>0.006309573444801925</v>
      </c>
      <c r="C20" s="225">
        <f t="shared" si="0"/>
        <v>0.3864876074562519</v>
      </c>
      <c r="D20" s="226">
        <f t="shared" si="1"/>
        <v>0.6125415780279975</v>
      </c>
      <c r="E20" s="226">
        <f t="shared" si="2"/>
        <v>0.0009708129771159623</v>
      </c>
      <c r="F20" s="227">
        <f t="shared" si="3"/>
        <v>1.5386348785839972E-09</v>
      </c>
    </row>
    <row r="21" spans="1:6" ht="12.75">
      <c r="A21">
        <v>2.4</v>
      </c>
      <c r="B21">
        <f t="shared" si="4"/>
        <v>0.003981071705534972</v>
      </c>
      <c r="C21" s="225">
        <f t="shared" si="0"/>
        <v>0.2842365786576237</v>
      </c>
      <c r="D21" s="226">
        <f t="shared" si="1"/>
        <v>0.7139700052687906</v>
      </c>
      <c r="E21" s="226">
        <f t="shared" si="2"/>
        <v>0.0017934115687394993</v>
      </c>
      <c r="F21" s="227">
        <f t="shared" si="3"/>
        <v>4.50484618562906E-09</v>
      </c>
    </row>
    <row r="22" spans="1:6" ht="12.75">
      <c r="A22">
        <v>2.6</v>
      </c>
      <c r="B22">
        <f t="shared" si="4"/>
        <v>0.0025118864315095777</v>
      </c>
      <c r="C22" s="225">
        <f t="shared" si="0"/>
        <v>0.20012324788121355</v>
      </c>
      <c r="D22" s="226">
        <f t="shared" si="1"/>
        <v>0.7967049997596617</v>
      </c>
      <c r="E22" s="226">
        <f t="shared" si="2"/>
        <v>0.0031717397322014395</v>
      </c>
      <c r="F22" s="227">
        <f t="shared" si="3"/>
        <v>1.2626923305188234E-08</v>
      </c>
    </row>
    <row r="23" spans="1:6" ht="12.75">
      <c r="A23">
        <v>2.8</v>
      </c>
      <c r="B23">
        <f t="shared" si="4"/>
        <v>0.0015848931924611134</v>
      </c>
      <c r="C23" s="225">
        <f t="shared" si="0"/>
        <v>0.1360658177336452</v>
      </c>
      <c r="D23" s="226">
        <f t="shared" si="1"/>
        <v>0.8585172703174677</v>
      </c>
      <c r="E23" s="226">
        <f t="shared" si="2"/>
        <v>0.0054168777706989375</v>
      </c>
      <c r="F23" s="227">
        <f t="shared" si="3"/>
        <v>3.417818813573991E-08</v>
      </c>
    </row>
    <row r="24" spans="1:6" ht="12.75">
      <c r="A24">
        <v>3</v>
      </c>
      <c r="B24">
        <f t="shared" si="4"/>
        <v>0.001</v>
      </c>
      <c r="C24" s="225">
        <f t="shared" si="0"/>
        <v>0.09009008197386649</v>
      </c>
      <c r="D24" s="226">
        <f t="shared" si="1"/>
        <v>0.9009008197386649</v>
      </c>
      <c r="E24" s="226">
        <f t="shared" si="2"/>
        <v>0.00900900819738665</v>
      </c>
      <c r="F24" s="227">
        <f t="shared" si="3"/>
        <v>9.00900819738665E-08</v>
      </c>
    </row>
    <row r="25" spans="1:6" ht="12.75">
      <c r="A25">
        <v>3.2</v>
      </c>
      <c r="B25">
        <f t="shared" si="4"/>
        <v>0.0006309573444801924</v>
      </c>
      <c r="C25" s="225">
        <f t="shared" si="0"/>
        <v>0.058479106227807984</v>
      </c>
      <c r="D25" s="226">
        <f t="shared" si="1"/>
        <v>0.9268313736166329</v>
      </c>
      <c r="E25" s="226">
        <f t="shared" si="2"/>
        <v>0.014689287346043866</v>
      </c>
      <c r="F25" s="227">
        <f t="shared" si="3"/>
        <v>2.3280951516850126E-07</v>
      </c>
    </row>
    <row r="26" spans="1:6" ht="12.75">
      <c r="A26">
        <v>3.4</v>
      </c>
      <c r="B26">
        <f t="shared" si="4"/>
        <v>0.0003981071705534971</v>
      </c>
      <c r="C26" s="225">
        <f t="shared" si="0"/>
        <v>0.03738340465365236</v>
      </c>
      <c r="D26" s="226">
        <f t="shared" si="1"/>
        <v>0.9390286691314151</v>
      </c>
      <c r="E26" s="226">
        <f t="shared" si="2"/>
        <v>0.02358733372789702</v>
      </c>
      <c r="F26" s="227">
        <f t="shared" si="3"/>
        <v>5.924870354659283E-07</v>
      </c>
    </row>
    <row r="27" spans="1:6" ht="12.75">
      <c r="A27">
        <v>3.6</v>
      </c>
      <c r="B27">
        <f t="shared" si="4"/>
        <v>0.00025118864315095774</v>
      </c>
      <c r="C27" s="225">
        <f t="shared" si="0"/>
        <v>0.023587312599016624</v>
      </c>
      <c r="D27" s="226">
        <f t="shared" si="1"/>
        <v>0.9390278279755375</v>
      </c>
      <c r="E27" s="226">
        <f t="shared" si="2"/>
        <v>0.03738337116663378</v>
      </c>
      <c r="F27" s="227">
        <f t="shared" si="3"/>
        <v>1.4882588120899783E-06</v>
      </c>
    </row>
    <row r="28" spans="1:6" ht="12.75">
      <c r="A28">
        <v>3.8</v>
      </c>
      <c r="B28">
        <f t="shared" si="4"/>
        <v>0.0001584893192461112</v>
      </c>
      <c r="C28" s="225">
        <f t="shared" si="0"/>
        <v>0.01468923656575489</v>
      </c>
      <c r="D28" s="226">
        <f t="shared" si="1"/>
        <v>0.9268281695970068</v>
      </c>
      <c r="E28" s="226">
        <f t="shared" si="2"/>
        <v>0.058478904067836616</v>
      </c>
      <c r="F28" s="227">
        <f t="shared" si="3"/>
        <v>3.6897694018754197E-06</v>
      </c>
    </row>
    <row r="29" spans="1:6" ht="12.75">
      <c r="A29">
        <v>4</v>
      </c>
      <c r="B29">
        <f t="shared" si="4"/>
        <v>0.0001</v>
      </c>
      <c r="C29" s="225">
        <f t="shared" si="0"/>
        <v>0.00900892784749687</v>
      </c>
      <c r="D29" s="226">
        <f t="shared" si="1"/>
        <v>0.9008927847496869</v>
      </c>
      <c r="E29" s="226">
        <f t="shared" si="2"/>
        <v>0.09008927847496871</v>
      </c>
      <c r="F29" s="227">
        <f t="shared" si="3"/>
        <v>9.00892784749687E-06</v>
      </c>
    </row>
    <row r="30" spans="1:6" ht="12.75">
      <c r="A30">
        <v>4.2</v>
      </c>
      <c r="B30">
        <f t="shared" si="4"/>
        <v>6.309573444801928E-05</v>
      </c>
      <c r="C30" s="225">
        <f t="shared" si="0"/>
        <v>0.005416761143494652</v>
      </c>
      <c r="D30" s="226">
        <f t="shared" si="1"/>
        <v>0.8584987861512556</v>
      </c>
      <c r="E30" s="226">
        <f t="shared" si="2"/>
        <v>0.13606288819072557</v>
      </c>
      <c r="F30" s="227">
        <f t="shared" si="3"/>
        <v>2.1564514524007875E-05</v>
      </c>
    </row>
    <row r="31" spans="1:6" ht="12.75">
      <c r="A31">
        <v>4.4</v>
      </c>
      <c r="B31">
        <f t="shared" si="4"/>
        <v>3.9810717055349634E-05</v>
      </c>
      <c r="C31" s="225">
        <f t="shared" si="0"/>
        <v>0.0031715803410689567</v>
      </c>
      <c r="D31" s="226">
        <f t="shared" si="1"/>
        <v>0.7966649625173657</v>
      </c>
      <c r="E31" s="226">
        <f t="shared" si="2"/>
        <v>0.2001131909806464</v>
      </c>
      <c r="F31" s="227">
        <f t="shared" si="3"/>
        <v>5.026616091903721E-05</v>
      </c>
    </row>
    <row r="32" spans="1:6" ht="12.75">
      <c r="A32">
        <v>4.6</v>
      </c>
      <c r="B32">
        <f t="shared" si="4"/>
        <v>2.511886431509579E-05</v>
      </c>
      <c r="C32" s="225">
        <f t="shared" si="0"/>
        <v>0.0017932086633861487</v>
      </c>
      <c r="D32" s="226">
        <f t="shared" si="1"/>
        <v>0.7138892271926787</v>
      </c>
      <c r="E32" s="226">
        <f t="shared" si="2"/>
        <v>0.2842044203263002</v>
      </c>
      <c r="F32" s="227">
        <f t="shared" si="3"/>
        <v>0.00011314381763490025</v>
      </c>
    </row>
    <row r="33" spans="1:6" ht="12.75">
      <c r="A33">
        <v>4.8</v>
      </c>
      <c r="B33">
        <f t="shared" si="4"/>
        <v>1.584893192461113E-05</v>
      </c>
      <c r="C33" s="225">
        <f t="shared" si="0"/>
        <v>0.0009705762965966107</v>
      </c>
      <c r="D33" s="226">
        <f t="shared" si="1"/>
        <v>0.6123922427160181</v>
      </c>
      <c r="E33" s="226">
        <f t="shared" si="2"/>
        <v>0.38639338324436884</v>
      </c>
      <c r="F33" s="227">
        <f t="shared" si="3"/>
        <v>0.00024379774301658462</v>
      </c>
    </row>
    <row r="34" spans="1:6" ht="12.75">
      <c r="A34">
        <v>5</v>
      </c>
      <c r="B34">
        <f t="shared" si="4"/>
        <v>1E-05</v>
      </c>
      <c r="C34" s="225">
        <f t="shared" si="0"/>
        <v>0.0004995004995004995</v>
      </c>
      <c r="D34" s="226">
        <f t="shared" si="1"/>
        <v>0.49950049950049946</v>
      </c>
      <c r="E34" s="226">
        <f t="shared" si="2"/>
        <v>0.49950049950049946</v>
      </c>
      <c r="F34" s="227">
        <f t="shared" si="3"/>
        <v>0.0004995004995004994</v>
      </c>
    </row>
    <row r="35" spans="1:6" ht="12.75">
      <c r="A35">
        <v>5.2</v>
      </c>
      <c r="B35">
        <f t="shared" si="4"/>
        <v>6.309573444801921E-06</v>
      </c>
      <c r="C35" s="225">
        <f t="shared" si="0"/>
        <v>0.00024379774301658372</v>
      </c>
      <c r="D35" s="226">
        <f t="shared" si="1"/>
        <v>0.3863933832443682</v>
      </c>
      <c r="E35" s="226">
        <f t="shared" si="2"/>
        <v>0.6123922427160184</v>
      </c>
      <c r="F35" s="227">
        <f t="shared" si="3"/>
        <v>0.0009705762965966132</v>
      </c>
    </row>
    <row r="36" spans="1:6" ht="12.75">
      <c r="A36">
        <v>5.4</v>
      </c>
      <c r="B36">
        <f t="shared" si="4"/>
        <v>3.981071705534966E-06</v>
      </c>
      <c r="C36" s="225">
        <f t="shared" si="0"/>
        <v>0.00011314381763489986</v>
      </c>
      <c r="D36" s="226">
        <f t="shared" si="1"/>
        <v>0.2842044203262998</v>
      </c>
      <c r="E36" s="226">
        <f t="shared" si="2"/>
        <v>0.7138892271926791</v>
      </c>
      <c r="F36" s="227">
        <f t="shared" si="3"/>
        <v>0.0017932086633861536</v>
      </c>
    </row>
    <row r="37" spans="1:6" ht="12.75">
      <c r="A37">
        <v>5.6</v>
      </c>
      <c r="B37">
        <f t="shared" si="4"/>
        <v>2.5118864315095806E-06</v>
      </c>
      <c r="C37" s="225">
        <f t="shared" si="0"/>
        <v>5.026616091903701E-05</v>
      </c>
      <c r="D37" s="226">
        <f t="shared" si="1"/>
        <v>0.20011319098064598</v>
      </c>
      <c r="E37" s="226">
        <f t="shared" si="2"/>
        <v>0.7966649625173661</v>
      </c>
      <c r="F37" s="227">
        <f t="shared" si="3"/>
        <v>0.0031715803410689645</v>
      </c>
    </row>
    <row r="38" spans="1:6" ht="12.75">
      <c r="A38">
        <v>5.8</v>
      </c>
      <c r="B38">
        <f t="shared" si="4"/>
        <v>1.5848931924611111E-06</v>
      </c>
      <c r="C38" s="225">
        <f t="shared" si="0"/>
        <v>2.156451452400778E-05</v>
      </c>
      <c r="D38" s="226">
        <f t="shared" si="1"/>
        <v>0.1360628881907253</v>
      </c>
      <c r="E38" s="226">
        <f t="shared" si="2"/>
        <v>0.8584987861512561</v>
      </c>
      <c r="F38" s="227">
        <f t="shared" si="3"/>
        <v>0.005416761143494666</v>
      </c>
    </row>
    <row r="39" spans="1:6" ht="12.75">
      <c r="A39">
        <v>6</v>
      </c>
      <c r="B39">
        <f t="shared" si="4"/>
        <v>1E-06</v>
      </c>
      <c r="C39" s="225">
        <f t="shared" si="0"/>
        <v>9.008927847496867E-06</v>
      </c>
      <c r="D39" s="226">
        <f t="shared" si="1"/>
        <v>0.09008927847496868</v>
      </c>
      <c r="E39" s="226">
        <f t="shared" si="2"/>
        <v>0.9008927847496869</v>
      </c>
      <c r="F39" s="227">
        <f t="shared" si="3"/>
        <v>0.00900892784749687</v>
      </c>
    </row>
    <row r="40" spans="1:6" ht="12.75">
      <c r="A40">
        <v>6.2</v>
      </c>
      <c r="B40">
        <f t="shared" si="4"/>
        <v>6.309573444801925E-07</v>
      </c>
      <c r="C40" s="225">
        <f t="shared" si="0"/>
        <v>3.6897694018754036E-06</v>
      </c>
      <c r="D40" s="226">
        <f t="shared" si="1"/>
        <v>0.058478904067836485</v>
      </c>
      <c r="E40" s="226">
        <f t="shared" si="2"/>
        <v>0.9268281695970068</v>
      </c>
      <c r="F40" s="227">
        <f t="shared" si="3"/>
        <v>0.014689236565754918</v>
      </c>
    </row>
    <row r="41" spans="1:6" ht="12.75">
      <c r="A41">
        <v>6.4</v>
      </c>
      <c r="B41">
        <f t="shared" si="4"/>
        <v>3.981071705534962E-07</v>
      </c>
      <c r="C41" s="225">
        <f aca="true" t="shared" si="5" ref="C41:C72">$B41^3/($B41^3+$B41^2*$B$4+$B41*$B$4*$D$4+$B$4*$D$4*$F$4)</f>
        <v>1.488258812089967E-06</v>
      </c>
      <c r="D41" s="226">
        <f aca="true" t="shared" si="6" ref="D41:D72">$B41^2*$B$4/($B41^3+$B41^2*$B$4+$B41*$B$4*$D$4+$B$4*$D$4*$F$4)</f>
        <v>0.03738337116663364</v>
      </c>
      <c r="E41" s="226">
        <f aca="true" t="shared" si="7" ref="E41:E72">$B41*$B$4*$D$4/($B41^3+$B41^2*$B$4+$B41*$B$4*$D$4+$B$4*$D$4*$F$4)</f>
        <v>0.9390278279755375</v>
      </c>
      <c r="F41" s="227">
        <f aca="true" t="shared" si="8" ref="F41:F72">$B$4*$D$4*$F$4/($B41^3+$B41^2*$B$4+$B41*$B$4*$D$4+$B$4*$D$4*$F$4)</f>
        <v>0.023587312599016714</v>
      </c>
    </row>
    <row r="42" spans="1:6" ht="12.75">
      <c r="A42">
        <v>6.6</v>
      </c>
      <c r="B42">
        <f t="shared" si="4"/>
        <v>2.511886431509578E-07</v>
      </c>
      <c r="C42" s="225">
        <f t="shared" si="5"/>
        <v>5.924870354659266E-07</v>
      </c>
      <c r="D42" s="226">
        <f t="shared" si="6"/>
        <v>0.02358733372789698</v>
      </c>
      <c r="E42" s="226">
        <f t="shared" si="7"/>
        <v>0.9390286691314153</v>
      </c>
      <c r="F42" s="227">
        <f t="shared" si="8"/>
        <v>0.03738340465365241</v>
      </c>
    </row>
    <row r="43" spans="1:6" ht="12.75">
      <c r="A43">
        <v>6.8</v>
      </c>
      <c r="B43">
        <f t="shared" si="4"/>
        <v>1.5848931924611122E-07</v>
      </c>
      <c r="C43" s="225">
        <f t="shared" si="5"/>
        <v>2.3280951516850028E-07</v>
      </c>
      <c r="D43" s="226">
        <f t="shared" si="6"/>
        <v>0.014689287346043831</v>
      </c>
      <c r="E43" s="226">
        <f t="shared" si="7"/>
        <v>0.9268313736166329</v>
      </c>
      <c r="F43" s="227">
        <f t="shared" si="8"/>
        <v>0.05847910622780811</v>
      </c>
    </row>
    <row r="44" spans="1:6" ht="12.75">
      <c r="A44">
        <v>7</v>
      </c>
      <c r="B44">
        <f t="shared" si="4"/>
        <v>1E-07</v>
      </c>
      <c r="C44" s="225">
        <f t="shared" si="5"/>
        <v>9.009008197386644E-08</v>
      </c>
      <c r="D44" s="226">
        <f t="shared" si="6"/>
        <v>0.009009008197386646</v>
      </c>
      <c r="E44" s="226">
        <f t="shared" si="7"/>
        <v>0.9009008197386648</v>
      </c>
      <c r="F44" s="227">
        <f t="shared" si="8"/>
        <v>0.09009008197386648</v>
      </c>
    </row>
    <row r="45" spans="1:6" ht="12.75">
      <c r="A45">
        <v>7.2</v>
      </c>
      <c r="B45">
        <f t="shared" si="4"/>
        <v>6.309573444801918E-08</v>
      </c>
      <c r="C45" s="225">
        <f t="shared" si="5"/>
        <v>3.417818813573973E-08</v>
      </c>
      <c r="D45" s="226">
        <f t="shared" si="6"/>
        <v>0.005416877770698923</v>
      </c>
      <c r="E45" s="226">
        <f t="shared" si="7"/>
        <v>0.8585172703174675</v>
      </c>
      <c r="F45" s="227">
        <f t="shared" si="8"/>
        <v>0.1360658177336455</v>
      </c>
    </row>
    <row r="46" spans="1:6" ht="12.75">
      <c r="A46">
        <v>7.4</v>
      </c>
      <c r="B46">
        <f t="shared" si="4"/>
        <v>3.981071705534957E-08</v>
      </c>
      <c r="C46" s="225">
        <f t="shared" si="5"/>
        <v>1.2626923305188097E-08</v>
      </c>
      <c r="D46" s="226">
        <f t="shared" si="6"/>
        <v>0.003171739732201421</v>
      </c>
      <c r="E46" s="226">
        <f t="shared" si="7"/>
        <v>0.796704999759661</v>
      </c>
      <c r="F46" s="227">
        <f t="shared" si="8"/>
        <v>0.20012324788121436</v>
      </c>
    </row>
    <row r="47" spans="1:6" ht="12.75">
      <c r="A47">
        <v>7.6</v>
      </c>
      <c r="B47">
        <f t="shared" si="4"/>
        <v>2.511886431509575E-08</v>
      </c>
      <c r="C47" s="225">
        <f t="shared" si="5"/>
        <v>4.504846185629036E-09</v>
      </c>
      <c r="D47" s="226">
        <f t="shared" si="6"/>
        <v>0.0017934115687394936</v>
      </c>
      <c r="E47" s="226">
        <f t="shared" si="7"/>
        <v>0.7139700052687902</v>
      </c>
      <c r="F47" s="227">
        <f t="shared" si="8"/>
        <v>0.28423657865762414</v>
      </c>
    </row>
    <row r="48" spans="1:6" ht="12.75">
      <c r="A48">
        <v>7.8</v>
      </c>
      <c r="B48">
        <f t="shared" si="4"/>
        <v>1.5848931924611133E-08</v>
      </c>
      <c r="C48" s="225">
        <f t="shared" si="5"/>
        <v>1.5386348785839918E-09</v>
      </c>
      <c r="D48" s="226">
        <f t="shared" si="6"/>
        <v>0.0009708129771159602</v>
      </c>
      <c r="E48" s="226">
        <f t="shared" si="7"/>
        <v>0.6125415780279969</v>
      </c>
      <c r="F48" s="227">
        <f t="shared" si="8"/>
        <v>0.3864876074562521</v>
      </c>
    </row>
    <row r="49" spans="1:6" ht="12.75">
      <c r="A49">
        <v>8</v>
      </c>
      <c r="B49">
        <f t="shared" si="4"/>
        <v>1E-08</v>
      </c>
      <c r="C49" s="225">
        <f t="shared" si="5"/>
        <v>4.99750124687781E-10</v>
      </c>
      <c r="D49" s="226">
        <f t="shared" si="6"/>
        <v>0.000499750124687781</v>
      </c>
      <c r="E49" s="226">
        <f t="shared" si="7"/>
        <v>0.499750124687781</v>
      </c>
      <c r="F49" s="227">
        <f t="shared" si="8"/>
        <v>0.499750124687781</v>
      </c>
    </row>
    <row r="50" spans="1:6" ht="12.75">
      <c r="A50">
        <v>8.2</v>
      </c>
      <c r="B50">
        <f t="shared" si="4"/>
        <v>6.309573444801933E-09</v>
      </c>
      <c r="C50" s="225">
        <f t="shared" si="5"/>
        <v>1.539754213945874E-10</v>
      </c>
      <c r="D50" s="226">
        <f t="shared" si="6"/>
        <v>0.00024403459717461283</v>
      </c>
      <c r="E50" s="226">
        <f t="shared" si="7"/>
        <v>0.386768771787034</v>
      </c>
      <c r="F50" s="227">
        <f t="shared" si="8"/>
        <v>0.6129871934618161</v>
      </c>
    </row>
    <row r="51" spans="1:6" ht="12.75">
      <c r="A51">
        <v>8.4</v>
      </c>
      <c r="B51">
        <f t="shared" si="4"/>
        <v>3.9810717055349665E-09</v>
      </c>
      <c r="C51" s="225">
        <f t="shared" si="5"/>
        <v>4.512428235626861E-11</v>
      </c>
      <c r="D51" s="226">
        <f t="shared" si="6"/>
        <v>0.00011334707258231844</v>
      </c>
      <c r="E51" s="226">
        <f t="shared" si="7"/>
        <v>0.28471497367085763</v>
      </c>
      <c r="F51" s="227">
        <f t="shared" si="8"/>
        <v>0.7151716792114358</v>
      </c>
    </row>
    <row r="52" spans="1:6" ht="12.75">
      <c r="A52">
        <v>8.6</v>
      </c>
      <c r="B52">
        <f t="shared" si="4"/>
        <v>2.511886431509581E-09</v>
      </c>
      <c r="C52" s="225">
        <f t="shared" si="5"/>
        <v>1.2666461457650691E-11</v>
      </c>
      <c r="D52" s="226">
        <f t="shared" si="6"/>
        <v>5.042609131830241E-05</v>
      </c>
      <c r="E52" s="226">
        <f t="shared" si="7"/>
        <v>0.20074988536801638</v>
      </c>
      <c r="F52" s="227">
        <f t="shared" si="8"/>
        <v>0.7991996885279988</v>
      </c>
    </row>
    <row r="53" spans="1:6" ht="12.75">
      <c r="A53">
        <v>8.8</v>
      </c>
      <c r="B53">
        <f t="shared" si="4"/>
        <v>1.584893192461106E-09</v>
      </c>
      <c r="C53" s="225">
        <f t="shared" si="5"/>
        <v>3.436359163563375E-12</v>
      </c>
      <c r="D53" s="226">
        <f t="shared" si="6"/>
        <v>2.1681960525221353E-05</v>
      </c>
      <c r="E53" s="226">
        <f t="shared" si="7"/>
        <v>0.13680392236118105</v>
      </c>
      <c r="F53" s="227">
        <f t="shared" si="8"/>
        <v>0.8631743956748574</v>
      </c>
    </row>
    <row r="54" spans="1:6" ht="12.75">
      <c r="A54">
        <v>9</v>
      </c>
      <c r="B54">
        <f t="shared" si="4"/>
        <v>1E-09</v>
      </c>
      <c r="C54" s="225">
        <f t="shared" si="5"/>
        <v>9.090826447024036E-13</v>
      </c>
      <c r="D54" s="226">
        <f t="shared" si="6"/>
        <v>9.090826447024036E-06</v>
      </c>
      <c r="E54" s="226">
        <f t="shared" si="7"/>
        <v>0.09090826447024036</v>
      </c>
      <c r="F54" s="227">
        <f t="shared" si="8"/>
        <v>0.9090826447024034</v>
      </c>
    </row>
    <row r="55" spans="1:6" ht="12.75">
      <c r="A55">
        <v>9.2</v>
      </c>
      <c r="B55">
        <f t="shared" si="4"/>
        <v>6.309573444801927E-10</v>
      </c>
      <c r="C55" s="225">
        <f t="shared" si="5"/>
        <v>2.3627947546585286E-13</v>
      </c>
      <c r="D55" s="226">
        <f t="shared" si="6"/>
        <v>3.7447773218411324E-06</v>
      </c>
      <c r="E55" s="226">
        <f t="shared" si="7"/>
        <v>0.05935072084668777</v>
      </c>
      <c r="F55" s="227">
        <f t="shared" si="8"/>
        <v>0.9406455343757542</v>
      </c>
    </row>
    <row r="56" spans="1:6" ht="12.75">
      <c r="A56">
        <v>9.4</v>
      </c>
      <c r="B56">
        <f t="shared" si="4"/>
        <v>3.981071705534962E-10</v>
      </c>
      <c r="C56" s="225">
        <f t="shared" si="5"/>
        <v>6.067992687697348E-14</v>
      </c>
      <c r="D56" s="226">
        <f t="shared" si="6"/>
        <v>1.5242108498726356E-06</v>
      </c>
      <c r="E56" s="226">
        <f t="shared" si="7"/>
        <v>0.0382864455255477</v>
      </c>
      <c r="F56" s="227">
        <f t="shared" si="8"/>
        <v>0.9617120302635418</v>
      </c>
    </row>
    <row r="57" spans="1:6" ht="12.75">
      <c r="A57">
        <v>9.6</v>
      </c>
      <c r="B57">
        <f t="shared" si="4"/>
        <v>2.5118864315095784E-10</v>
      </c>
      <c r="C57" s="225">
        <f t="shared" si="5"/>
        <v>1.546057020445092E-14</v>
      </c>
      <c r="D57" s="226">
        <f t="shared" si="6"/>
        <v>6.154963859237664E-07</v>
      </c>
      <c r="E57" s="226">
        <f t="shared" si="7"/>
        <v>0.024503352468601424</v>
      </c>
      <c r="F57" s="227">
        <f t="shared" si="8"/>
        <v>0.9754960320349971</v>
      </c>
    </row>
    <row r="58" spans="1:6" ht="12.75">
      <c r="A58">
        <v>9.8</v>
      </c>
      <c r="B58">
        <f t="shared" si="4"/>
        <v>1.5848931924611098E-10</v>
      </c>
      <c r="C58" s="225">
        <f t="shared" si="5"/>
        <v>3.918959400384821E-15</v>
      </c>
      <c r="D58" s="226">
        <f t="shared" si="6"/>
        <v>2.472696216392503E-07</v>
      </c>
      <c r="E58" s="226">
        <f t="shared" si="7"/>
        <v>0.015601658384012384</v>
      </c>
      <c r="F58" s="227">
        <f t="shared" si="8"/>
        <v>0.9843980943463619</v>
      </c>
    </row>
    <row r="59" spans="1:6" ht="12.75">
      <c r="A59">
        <v>10</v>
      </c>
      <c r="B59">
        <f t="shared" si="4"/>
        <v>1E-10</v>
      </c>
      <c r="C59" s="225">
        <f t="shared" si="5"/>
        <v>9.900989118713939E-16</v>
      </c>
      <c r="D59" s="226">
        <f t="shared" si="6"/>
        <v>9.900989118713941E-08</v>
      </c>
      <c r="E59" s="226">
        <f t="shared" si="7"/>
        <v>0.009900989118713939</v>
      </c>
      <c r="F59" s="227">
        <f t="shared" si="8"/>
        <v>0.990098911871394</v>
      </c>
    </row>
    <row r="60" spans="1:6" ht="12.75">
      <c r="A60">
        <v>10.2</v>
      </c>
      <c r="B60">
        <f t="shared" si="4"/>
        <v>6.309573444801919E-11</v>
      </c>
      <c r="C60" s="225">
        <f t="shared" si="5"/>
        <v>2.496136773833793E-16</v>
      </c>
      <c r="D60" s="226">
        <f t="shared" si="6"/>
        <v>3.956110180301034E-08</v>
      </c>
      <c r="E60" s="226">
        <f t="shared" si="7"/>
        <v>0.00627001209338523</v>
      </c>
      <c r="F60" s="227">
        <f t="shared" si="8"/>
        <v>0.9937299483455126</v>
      </c>
    </row>
    <row r="61" spans="1:6" ht="12.75">
      <c r="A61">
        <v>10.4</v>
      </c>
      <c r="B61">
        <f t="shared" si="4"/>
        <v>3.981071705534958E-11</v>
      </c>
      <c r="C61" s="225">
        <f t="shared" si="5"/>
        <v>6.28455408474969E-17</v>
      </c>
      <c r="D61" s="226">
        <f t="shared" si="6"/>
        <v>1.5786086133570913E-08</v>
      </c>
      <c r="E61" s="226">
        <f t="shared" si="7"/>
        <v>0.0039652855565558455</v>
      </c>
      <c r="F61" s="227">
        <f t="shared" si="8"/>
        <v>0.9960346986573578</v>
      </c>
    </row>
    <row r="62" spans="1:6" ht="12.75">
      <c r="A62">
        <v>10.6</v>
      </c>
      <c r="B62">
        <f t="shared" si="4"/>
        <v>2.511886431509576E-11</v>
      </c>
      <c r="C62" s="225">
        <f t="shared" si="5"/>
        <v>1.580922085749693E-17</v>
      </c>
      <c r="D62" s="226">
        <f t="shared" si="6"/>
        <v>6.293764184233446E-09</v>
      </c>
      <c r="E62" s="226">
        <f t="shared" si="7"/>
        <v>0.0025055926515161215</v>
      </c>
      <c r="F62" s="227">
        <f t="shared" si="8"/>
        <v>0.9974944010547198</v>
      </c>
    </row>
    <row r="63" spans="1:6" ht="12.75">
      <c r="A63">
        <v>10.8</v>
      </c>
      <c r="B63">
        <f t="shared" si="4"/>
        <v>1.5848931924611082E-11</v>
      </c>
      <c r="C63" s="225">
        <f t="shared" si="5"/>
        <v>3.9747721062979E-18</v>
      </c>
      <c r="D63" s="226">
        <f t="shared" si="6"/>
        <v>2.507911653103676E-09</v>
      </c>
      <c r="E63" s="226">
        <f t="shared" si="7"/>
        <v>0.0015823852768332323</v>
      </c>
      <c r="F63" s="227">
        <f t="shared" si="8"/>
        <v>0.9984176122152552</v>
      </c>
    </row>
    <row r="64" spans="1:6" ht="12.75">
      <c r="A64">
        <v>11</v>
      </c>
      <c r="B64">
        <f t="shared" si="4"/>
        <v>1E-11</v>
      </c>
      <c r="C64" s="225">
        <f t="shared" si="5"/>
        <v>9.990009980029959E-19</v>
      </c>
      <c r="D64" s="226">
        <f t="shared" si="6"/>
        <v>9.990009980029958E-10</v>
      </c>
      <c r="E64" s="226">
        <f t="shared" si="7"/>
        <v>0.000999000998002996</v>
      </c>
      <c r="F64" s="227">
        <f t="shared" si="8"/>
        <v>0.999000998002996</v>
      </c>
    </row>
    <row r="65" spans="1:6" ht="12.75">
      <c r="A65">
        <v>11.2</v>
      </c>
      <c r="B65">
        <f t="shared" si="4"/>
        <v>6.3095734448019345E-12</v>
      </c>
      <c r="C65" s="225">
        <f t="shared" si="5"/>
        <v>2.5103025366878226E-19</v>
      </c>
      <c r="D65" s="226">
        <f t="shared" si="6"/>
        <v>3.978561401414393E-10</v>
      </c>
      <c r="E65" s="226">
        <f t="shared" si="7"/>
        <v>0.0006305594880890217</v>
      </c>
      <c r="F65" s="227">
        <f t="shared" si="8"/>
        <v>0.9993694401140548</v>
      </c>
    </row>
    <row r="66" spans="1:6" ht="12.75">
      <c r="A66">
        <v>11.4</v>
      </c>
      <c r="B66">
        <f t="shared" si="4"/>
        <v>3.981071705534953E-12</v>
      </c>
      <c r="C66" s="225">
        <f t="shared" si="5"/>
        <v>6.307062556973178E-20</v>
      </c>
      <c r="D66" s="226">
        <f t="shared" si="6"/>
        <v>1.584262485954312E-10</v>
      </c>
      <c r="E66" s="226">
        <f t="shared" si="7"/>
        <v>0.00039794874424182926</v>
      </c>
      <c r="F66" s="227">
        <f t="shared" si="8"/>
        <v>0.9996020510973318</v>
      </c>
    </row>
    <row r="67" spans="1:6" ht="12.75">
      <c r="A67">
        <v>11.6</v>
      </c>
      <c r="B67">
        <f t="shared" si="4"/>
        <v>2.5118864315095726E-12</v>
      </c>
      <c r="C67" s="225">
        <f t="shared" si="5"/>
        <v>1.5844951851654832E-20</v>
      </c>
      <c r="D67" s="226">
        <f t="shared" si="6"/>
        <v>6.307988949218721E-11</v>
      </c>
      <c r="E67" s="226">
        <f t="shared" si="7"/>
        <v>0.0002511255632456201</v>
      </c>
      <c r="F67" s="227">
        <f t="shared" si="8"/>
        <v>0.9997488743736744</v>
      </c>
    </row>
    <row r="68" spans="1:6" ht="12.75">
      <c r="A68">
        <v>11.8</v>
      </c>
      <c r="B68">
        <f t="shared" si="4"/>
        <v>1.5848931924611065E-12</v>
      </c>
      <c r="C68" s="225">
        <f t="shared" si="5"/>
        <v>3.980440848074625E-21</v>
      </c>
      <c r="D68" s="226">
        <f t="shared" si="6"/>
        <v>2.511488387361665E-11</v>
      </c>
      <c r="E68" s="226">
        <f t="shared" si="7"/>
        <v>0.0001584642043582566</v>
      </c>
      <c r="F68" s="227">
        <f t="shared" si="8"/>
        <v>0.9998415357705269</v>
      </c>
    </row>
    <row r="69" spans="1:6" ht="12.75">
      <c r="A69">
        <v>12</v>
      </c>
      <c r="B69">
        <f t="shared" si="4"/>
        <v>1E-12</v>
      </c>
      <c r="C69" s="225">
        <f t="shared" si="5"/>
        <v>9.99900009989002E-22</v>
      </c>
      <c r="D69" s="226">
        <f t="shared" si="6"/>
        <v>9.99900009989002E-12</v>
      </c>
      <c r="E69" s="226">
        <f t="shared" si="7"/>
        <v>9.999000099890022E-05</v>
      </c>
      <c r="F69" s="227">
        <f t="shared" si="8"/>
        <v>0.9999000099890022</v>
      </c>
    </row>
    <row r="70" spans="1:6" ht="12.75">
      <c r="A70">
        <v>12.2</v>
      </c>
      <c r="B70">
        <f t="shared" si="4"/>
        <v>6.309573444801928E-13</v>
      </c>
      <c r="C70" s="225">
        <f t="shared" si="5"/>
        <v>2.5117279521796987E-22</v>
      </c>
      <c r="D70" s="226">
        <f t="shared" si="6"/>
        <v>3.980820532723901E-12</v>
      </c>
      <c r="E70" s="226">
        <f t="shared" si="7"/>
        <v>6.309175362723539E-05</v>
      </c>
      <c r="F70" s="227">
        <f t="shared" si="8"/>
        <v>0.9999369082423919</v>
      </c>
    </row>
    <row r="71" spans="1:6" ht="12.75">
      <c r="A71">
        <v>12.4</v>
      </c>
      <c r="B71">
        <f t="shared" si="4"/>
        <v>3.981071705534963E-13</v>
      </c>
      <c r="C71" s="225">
        <f t="shared" si="5"/>
        <v>6.30932226614834E-23</v>
      </c>
      <c r="D71" s="226">
        <f t="shared" si="6"/>
        <v>1.5848300992359328E-12</v>
      </c>
      <c r="E71" s="226">
        <f t="shared" si="7"/>
        <v>3.98091322251873E-05</v>
      </c>
      <c r="F71" s="227">
        <f t="shared" si="8"/>
        <v>0.99996019086619</v>
      </c>
    </row>
    <row r="72" spans="1:6" ht="12.75">
      <c r="A72">
        <v>12.6</v>
      </c>
      <c r="B72">
        <f t="shared" si="4"/>
        <v>2.511886431509579E-13</v>
      </c>
      <c r="C72" s="225">
        <f t="shared" si="5"/>
        <v>1.5848533827430307E-23</v>
      </c>
      <c r="D72" s="226">
        <f t="shared" si="6"/>
        <v>6.30941495945967E-13</v>
      </c>
      <c r="E72" s="226">
        <f t="shared" si="7"/>
        <v>2.5118233373583993E-05</v>
      </c>
      <c r="F72" s="227">
        <f t="shared" si="8"/>
        <v>0.9999748817659954</v>
      </c>
    </row>
    <row r="73" spans="1:6" ht="12.75">
      <c r="A73">
        <v>12.8</v>
      </c>
      <c r="B73">
        <f t="shared" si="4"/>
        <v>1.5848931924611046E-13</v>
      </c>
      <c r="C73" s="225">
        <f aca="true" t="shared" si="9" ref="C73:C79">$B73^3/($B73^3+$B73^2*$B$4+$B73*$B$4*$D$4+$B$4*$D$4*$F$4)</f>
        <v>3.9810086107994406E-24</v>
      </c>
      <c r="D73" s="226">
        <f aca="true" t="shared" si="10" ref="D73:D79">$B73^2*$B$4/($B73^3+$B73^2*$B$4+$B73*$B$4*$D$4+$B$4*$D$4*$F$4)</f>
        <v>2.5118466214228125E-13</v>
      </c>
      <c r="E73" s="226">
        <f aca="true" t="shared" si="11" ref="E73:E79">$B73*$B$4*$D$4/($B73^3+$B73^2*$B$4+$B73*$B$4*$D$4+$B$4*$D$4*$F$4)</f>
        <v>1.584868073994492E-05</v>
      </c>
      <c r="F73" s="227">
        <f aca="true" t="shared" si="12" ref="F73:F79">$B$4*$D$4*$F$4/($B73^3+$B73^2*$B$4+$B73*$B$4*$D$4+$B$4*$D$4*$F$4)</f>
        <v>0.9999841513190088</v>
      </c>
    </row>
    <row r="74" spans="1:6" ht="12.75">
      <c r="A74">
        <v>13</v>
      </c>
      <c r="B74">
        <f aca="true" t="shared" si="13" ref="B74:B79">10^-A74</f>
        <v>1E-13</v>
      </c>
      <c r="C74" s="225">
        <f t="shared" si="9"/>
        <v>9.99990000099899E-25</v>
      </c>
      <c r="D74" s="226">
        <f t="shared" si="10"/>
        <v>9.99990000099899E-14</v>
      </c>
      <c r="E74" s="226">
        <f t="shared" si="11"/>
        <v>9.999900000998991E-06</v>
      </c>
      <c r="F74" s="227">
        <f t="shared" si="12"/>
        <v>0.999990000099899</v>
      </c>
    </row>
    <row r="75" spans="1:6" ht="12.75">
      <c r="A75">
        <v>13.2</v>
      </c>
      <c r="B75">
        <f t="shared" si="13"/>
        <v>6.309573444801921E-14</v>
      </c>
      <c r="C75" s="225">
        <f t="shared" si="9"/>
        <v>2.5118705826775414E-25</v>
      </c>
      <c r="D75" s="226">
        <f t="shared" si="10"/>
        <v>3.981046586828973E-14</v>
      </c>
      <c r="E75" s="226">
        <f t="shared" si="11"/>
        <v>6.309533634335801E-06</v>
      </c>
      <c r="F75" s="227">
        <f t="shared" si="12"/>
        <v>0.9999936904663258</v>
      </c>
    </row>
    <row r="76" spans="1:6" ht="12.75">
      <c r="A76">
        <v>13.4</v>
      </c>
      <c r="B76">
        <f t="shared" si="13"/>
        <v>3.981071705534959E-14</v>
      </c>
      <c r="C76" s="225">
        <f t="shared" si="9"/>
        <v>6.309548326037453E-26</v>
      </c>
      <c r="D76" s="226">
        <f t="shared" si="10"/>
        <v>1.5848868829127517E-14</v>
      </c>
      <c r="E76" s="226">
        <f t="shared" si="11"/>
        <v>3.981055856666067E-06</v>
      </c>
      <c r="F76" s="227">
        <f t="shared" si="12"/>
        <v>0.9999960189441274</v>
      </c>
    </row>
    <row r="77" spans="1:6" ht="12.75">
      <c r="A77">
        <v>13.6</v>
      </c>
      <c r="B77">
        <f t="shared" si="13"/>
        <v>2.511886431509576E-14</v>
      </c>
      <c r="C77" s="225">
        <f t="shared" si="9"/>
        <v>1.58488921139939E-26</v>
      </c>
      <c r="D77" s="226">
        <f t="shared" si="10"/>
        <v>6.309557595909758E-15</v>
      </c>
      <c r="E77" s="226">
        <f t="shared" si="11"/>
        <v>2.5118801219519645E-06</v>
      </c>
      <c r="F77" s="227">
        <f t="shared" si="12"/>
        <v>0.9999974881198718</v>
      </c>
    </row>
    <row r="78" spans="1:6" ht="12.75">
      <c r="A78">
        <v>13.8</v>
      </c>
      <c r="B78">
        <f t="shared" si="13"/>
        <v>1.5848931924611084E-14</v>
      </c>
      <c r="C78" s="225">
        <f t="shared" si="9"/>
        <v>3.9810653959714784E-27</v>
      </c>
      <c r="D78" s="226">
        <f t="shared" si="10"/>
        <v>2.5118824504441615E-15</v>
      </c>
      <c r="E78" s="226">
        <f t="shared" si="11"/>
        <v>1.5848906805786539E-06</v>
      </c>
      <c r="F78" s="227">
        <f t="shared" si="12"/>
        <v>0.9999984151093169</v>
      </c>
    </row>
    <row r="79" spans="1:6" ht="12.75">
      <c r="A79">
        <v>14</v>
      </c>
      <c r="B79">
        <f t="shared" si="13"/>
        <v>1E-14</v>
      </c>
      <c r="C79" s="228">
        <f t="shared" si="9"/>
        <v>9.99999000000999E-28</v>
      </c>
      <c r="D79" s="229">
        <f t="shared" si="10"/>
        <v>9.999990000009988E-16</v>
      </c>
      <c r="E79" s="229">
        <f t="shared" si="11"/>
        <v>9.99999000000999E-07</v>
      </c>
      <c r="F79" s="230">
        <f t="shared" si="12"/>
        <v>0.999999000000999</v>
      </c>
    </row>
  </sheetData>
  <mergeCells count="1">
    <mergeCell ref="C6:F6"/>
  </mergeCell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D31" sqref="D31"/>
    </sheetView>
  </sheetViews>
  <sheetFormatPr defaultColWidth="9.140625" defaultRowHeight="12.75"/>
  <cols>
    <col min="6" max="6" width="11.421875" style="0" customWidth="1"/>
  </cols>
  <sheetData>
    <row r="1" ht="12.75">
      <c r="A1" s="1" t="s">
        <v>87</v>
      </c>
    </row>
    <row r="2" ht="12.75">
      <c r="A2" s="208"/>
    </row>
    <row r="3" spans="1:6" ht="15.75">
      <c r="A3" t="s">
        <v>76</v>
      </c>
      <c r="B3" s="235">
        <v>2</v>
      </c>
      <c r="C3" t="s">
        <v>78</v>
      </c>
      <c r="D3" s="235">
        <v>5</v>
      </c>
      <c r="E3" t="s">
        <v>80</v>
      </c>
      <c r="F3" s="235">
        <v>8</v>
      </c>
    </row>
    <row r="4" spans="1:6" ht="15.75">
      <c r="A4" s="208" t="s">
        <v>77</v>
      </c>
      <c r="B4" s="207">
        <f>10^-B3</f>
        <v>0.01</v>
      </c>
      <c r="C4" s="208" t="s">
        <v>79</v>
      </c>
      <c r="D4" s="207">
        <f>10^-D3</f>
        <v>1E-05</v>
      </c>
      <c r="E4" s="208" t="s">
        <v>81</v>
      </c>
      <c r="F4" s="207">
        <f>10^-F3</f>
        <v>1E-08</v>
      </c>
    </row>
    <row r="6" spans="3:6" ht="12.75">
      <c r="C6" s="268" t="s">
        <v>71</v>
      </c>
      <c r="D6" s="269"/>
      <c r="E6" s="269"/>
      <c r="F6" s="270"/>
    </row>
    <row r="7" spans="3:6" ht="15">
      <c r="C7" s="231" t="s">
        <v>72</v>
      </c>
      <c r="D7" s="232" t="s">
        <v>73</v>
      </c>
      <c r="E7" s="233" t="s">
        <v>74</v>
      </c>
      <c r="F7" s="234" t="s">
        <v>75</v>
      </c>
    </row>
    <row r="8" spans="1:6" ht="15">
      <c r="A8" s="1" t="s">
        <v>2</v>
      </c>
      <c r="B8" s="1" t="s">
        <v>62</v>
      </c>
      <c r="C8" s="236" t="s">
        <v>63</v>
      </c>
      <c r="D8" s="236" t="s">
        <v>64</v>
      </c>
      <c r="E8" s="236" t="s">
        <v>65</v>
      </c>
      <c r="F8" s="236" t="s">
        <v>66</v>
      </c>
    </row>
    <row r="9" spans="1:6" ht="12.75">
      <c r="A9">
        <v>0</v>
      </c>
      <c r="C9" s="225"/>
      <c r="D9" s="226"/>
      <c r="E9" s="226"/>
      <c r="F9" s="227"/>
    </row>
    <row r="10" spans="1:6" ht="12.75">
      <c r="A10">
        <v>0.2</v>
      </c>
      <c r="C10" s="225"/>
      <c r="D10" s="226"/>
      <c r="E10" s="226"/>
      <c r="F10" s="227"/>
    </row>
    <row r="11" spans="1:6" ht="12.75">
      <c r="A11">
        <v>0.4</v>
      </c>
      <c r="C11" s="225"/>
      <c r="D11" s="226"/>
      <c r="E11" s="226"/>
      <c r="F11" s="227"/>
    </row>
    <row r="12" spans="1:6" ht="12.75">
      <c r="A12">
        <v>0.6</v>
      </c>
      <c r="C12" s="225"/>
      <c r="D12" s="226"/>
      <c r="E12" s="226"/>
      <c r="F12" s="227"/>
    </row>
    <row r="13" spans="1:6" ht="12.75">
      <c r="A13">
        <v>0.8</v>
      </c>
      <c r="C13" s="225"/>
      <c r="D13" s="226"/>
      <c r="E13" s="226"/>
      <c r="F13" s="227"/>
    </row>
    <row r="14" spans="1:6" ht="12.75">
      <c r="A14">
        <v>1</v>
      </c>
      <c r="C14" s="225"/>
      <c r="D14" s="226"/>
      <c r="E14" s="226"/>
      <c r="F14" s="227"/>
    </row>
    <row r="15" spans="1:6" ht="12.75">
      <c r="A15">
        <v>1.2</v>
      </c>
      <c r="C15" s="225"/>
      <c r="D15" s="226"/>
      <c r="E15" s="226"/>
      <c r="F15" s="227"/>
    </row>
    <row r="16" spans="1:6" ht="12.75">
      <c r="A16">
        <v>1.4</v>
      </c>
      <c r="C16" s="225"/>
      <c r="D16" s="226"/>
      <c r="E16" s="226"/>
      <c r="F16" s="227"/>
    </row>
    <row r="17" spans="1:6" ht="12.75">
      <c r="A17">
        <v>1.6</v>
      </c>
      <c r="C17" s="225"/>
      <c r="D17" s="226"/>
      <c r="E17" s="226"/>
      <c r="F17" s="227"/>
    </row>
    <row r="18" spans="1:6" ht="12.75">
      <c r="A18">
        <v>1.8</v>
      </c>
      <c r="C18" s="225"/>
      <c r="D18" s="226"/>
      <c r="E18" s="226"/>
      <c r="F18" s="227"/>
    </row>
    <row r="19" spans="1:6" ht="12.75">
      <c r="A19">
        <v>2</v>
      </c>
      <c r="C19" s="225"/>
      <c r="D19" s="226"/>
      <c r="E19" s="226"/>
      <c r="F19" s="227"/>
    </row>
    <row r="20" spans="1:6" ht="12.75">
      <c r="A20">
        <v>2.2</v>
      </c>
      <c r="C20" s="225"/>
      <c r="D20" s="226"/>
      <c r="E20" s="226"/>
      <c r="F20" s="227"/>
    </row>
    <row r="21" spans="1:6" ht="12.75">
      <c r="A21">
        <v>2.4</v>
      </c>
      <c r="C21" s="225"/>
      <c r="D21" s="226"/>
      <c r="E21" s="226"/>
      <c r="F21" s="227"/>
    </row>
    <row r="22" spans="1:6" ht="12.75">
      <c r="A22">
        <v>2.6</v>
      </c>
      <c r="C22" s="225"/>
      <c r="D22" s="226"/>
      <c r="E22" s="226"/>
      <c r="F22" s="227"/>
    </row>
    <row r="23" spans="1:6" ht="12.75">
      <c r="A23">
        <v>2.8</v>
      </c>
      <c r="C23" s="225"/>
      <c r="D23" s="226"/>
      <c r="E23" s="226"/>
      <c r="F23" s="227"/>
    </row>
    <row r="24" spans="1:6" ht="12.75">
      <c r="A24">
        <v>3</v>
      </c>
      <c r="C24" s="225"/>
      <c r="D24" s="226"/>
      <c r="E24" s="226"/>
      <c r="F24" s="227"/>
    </row>
    <row r="25" spans="1:6" ht="12.75">
      <c r="A25">
        <v>3.2</v>
      </c>
      <c r="C25" s="225"/>
      <c r="D25" s="226"/>
      <c r="E25" s="226"/>
      <c r="F25" s="227"/>
    </row>
    <row r="26" spans="1:6" ht="12.75">
      <c r="A26">
        <v>3.4</v>
      </c>
      <c r="C26" s="225"/>
      <c r="D26" s="226"/>
      <c r="E26" s="226"/>
      <c r="F26" s="227"/>
    </row>
    <row r="27" spans="1:6" ht="12.75">
      <c r="A27">
        <v>3.6</v>
      </c>
      <c r="C27" s="225"/>
      <c r="D27" s="226"/>
      <c r="E27" s="226"/>
      <c r="F27" s="227"/>
    </row>
    <row r="28" spans="1:6" ht="12.75">
      <c r="A28">
        <v>3.8</v>
      </c>
      <c r="C28" s="225"/>
      <c r="D28" s="226"/>
      <c r="E28" s="226"/>
      <c r="F28" s="227"/>
    </row>
    <row r="29" spans="1:6" ht="12.75">
      <c r="A29">
        <v>4</v>
      </c>
      <c r="C29" s="225"/>
      <c r="D29" s="226"/>
      <c r="E29" s="226"/>
      <c r="F29" s="227"/>
    </row>
    <row r="30" spans="1:6" ht="12.75">
      <c r="A30">
        <v>4.2</v>
      </c>
      <c r="C30" s="225"/>
      <c r="D30" s="226"/>
      <c r="E30" s="226"/>
      <c r="F30" s="227"/>
    </row>
    <row r="31" spans="1:6" ht="12.75">
      <c r="A31">
        <v>4.4</v>
      </c>
      <c r="C31" s="225"/>
      <c r="D31" s="226"/>
      <c r="E31" s="226"/>
      <c r="F31" s="227"/>
    </row>
    <row r="32" spans="1:6" ht="12.75">
      <c r="A32">
        <v>4.6</v>
      </c>
      <c r="C32" s="225"/>
      <c r="D32" s="226"/>
      <c r="E32" s="226"/>
      <c r="F32" s="227"/>
    </row>
    <row r="33" spans="1:6" ht="12.75">
      <c r="A33">
        <v>4.8</v>
      </c>
      <c r="C33" s="225"/>
      <c r="D33" s="226"/>
      <c r="E33" s="226"/>
      <c r="F33" s="227"/>
    </row>
    <row r="34" spans="1:6" ht="12.75">
      <c r="A34">
        <v>5</v>
      </c>
      <c r="C34" s="225"/>
      <c r="D34" s="226"/>
      <c r="E34" s="226"/>
      <c r="F34" s="227"/>
    </row>
    <row r="35" spans="1:6" ht="12.75">
      <c r="A35">
        <v>5.2</v>
      </c>
      <c r="C35" s="225"/>
      <c r="D35" s="226"/>
      <c r="E35" s="226"/>
      <c r="F35" s="227"/>
    </row>
    <row r="36" spans="1:6" ht="12.75">
      <c r="A36">
        <v>5.4</v>
      </c>
      <c r="C36" s="225"/>
      <c r="D36" s="226"/>
      <c r="E36" s="226"/>
      <c r="F36" s="227"/>
    </row>
    <row r="37" spans="1:6" ht="12.75">
      <c r="A37">
        <v>5.6</v>
      </c>
      <c r="C37" s="225"/>
      <c r="D37" s="226"/>
      <c r="E37" s="226"/>
      <c r="F37" s="227"/>
    </row>
    <row r="38" spans="1:6" ht="12.75">
      <c r="A38">
        <v>5.8</v>
      </c>
      <c r="C38" s="225"/>
      <c r="D38" s="226"/>
      <c r="E38" s="226"/>
      <c r="F38" s="227"/>
    </row>
    <row r="39" spans="1:6" ht="12.75">
      <c r="A39">
        <v>6</v>
      </c>
      <c r="C39" s="225"/>
      <c r="D39" s="226"/>
      <c r="E39" s="226"/>
      <c r="F39" s="227"/>
    </row>
    <row r="40" spans="1:6" ht="12.75">
      <c r="A40">
        <v>6.2</v>
      </c>
      <c r="C40" s="225"/>
      <c r="D40" s="226"/>
      <c r="E40" s="226"/>
      <c r="F40" s="227"/>
    </row>
    <row r="41" spans="1:6" ht="12.75">
      <c r="A41">
        <v>6.4</v>
      </c>
      <c r="C41" s="225"/>
      <c r="D41" s="226"/>
      <c r="E41" s="226"/>
      <c r="F41" s="227"/>
    </row>
    <row r="42" spans="1:6" ht="12.75">
      <c r="A42">
        <v>6.6</v>
      </c>
      <c r="C42" s="225"/>
      <c r="D42" s="226"/>
      <c r="E42" s="226"/>
      <c r="F42" s="227"/>
    </row>
    <row r="43" spans="1:6" ht="12.75">
      <c r="A43">
        <v>6.8</v>
      </c>
      <c r="C43" s="225"/>
      <c r="D43" s="226"/>
      <c r="E43" s="226"/>
      <c r="F43" s="227"/>
    </row>
    <row r="44" spans="1:6" ht="12.75">
      <c r="A44">
        <v>7</v>
      </c>
      <c r="C44" s="225"/>
      <c r="D44" s="226"/>
      <c r="E44" s="226"/>
      <c r="F44" s="227"/>
    </row>
    <row r="45" spans="1:6" ht="12.75">
      <c r="A45">
        <v>7.2</v>
      </c>
      <c r="C45" s="225"/>
      <c r="D45" s="226"/>
      <c r="E45" s="226"/>
      <c r="F45" s="227"/>
    </row>
    <row r="46" spans="1:6" ht="12.75">
      <c r="A46">
        <v>7.4</v>
      </c>
      <c r="C46" s="225"/>
      <c r="D46" s="226"/>
      <c r="E46" s="226"/>
      <c r="F46" s="227"/>
    </row>
    <row r="47" spans="1:6" ht="12.75">
      <c r="A47">
        <v>7.6</v>
      </c>
      <c r="C47" s="225"/>
      <c r="D47" s="226"/>
      <c r="E47" s="226"/>
      <c r="F47" s="227"/>
    </row>
    <row r="48" spans="1:6" ht="12.75">
      <c r="A48">
        <v>7.8</v>
      </c>
      <c r="C48" s="225"/>
      <c r="D48" s="226"/>
      <c r="E48" s="226"/>
      <c r="F48" s="227"/>
    </row>
    <row r="49" spans="1:6" ht="12.75">
      <c r="A49">
        <v>8</v>
      </c>
      <c r="C49" s="225"/>
      <c r="D49" s="226"/>
      <c r="E49" s="226"/>
      <c r="F49" s="227"/>
    </row>
    <row r="50" spans="1:6" ht="12.75">
      <c r="A50">
        <v>8.2</v>
      </c>
      <c r="C50" s="225"/>
      <c r="D50" s="226"/>
      <c r="E50" s="226"/>
      <c r="F50" s="227"/>
    </row>
    <row r="51" spans="1:6" ht="12.75">
      <c r="A51">
        <v>8.4</v>
      </c>
      <c r="C51" s="225"/>
      <c r="D51" s="226"/>
      <c r="E51" s="226"/>
      <c r="F51" s="227"/>
    </row>
    <row r="52" spans="1:6" ht="12.75">
      <c r="A52">
        <v>8.6</v>
      </c>
      <c r="C52" s="225"/>
      <c r="D52" s="226"/>
      <c r="E52" s="226"/>
      <c r="F52" s="227"/>
    </row>
    <row r="53" spans="1:6" ht="12.75">
      <c r="A53">
        <v>8.8</v>
      </c>
      <c r="C53" s="225"/>
      <c r="D53" s="226"/>
      <c r="E53" s="226"/>
      <c r="F53" s="227"/>
    </row>
    <row r="54" spans="1:6" ht="12.75">
      <c r="A54">
        <v>9</v>
      </c>
      <c r="C54" s="225"/>
      <c r="D54" s="226"/>
      <c r="E54" s="226"/>
      <c r="F54" s="227"/>
    </row>
    <row r="55" spans="1:6" ht="12.75">
      <c r="A55">
        <v>9.2</v>
      </c>
      <c r="C55" s="225"/>
      <c r="D55" s="226"/>
      <c r="E55" s="226"/>
      <c r="F55" s="227"/>
    </row>
    <row r="56" spans="1:6" ht="12.75">
      <c r="A56">
        <v>9.4</v>
      </c>
      <c r="C56" s="225"/>
      <c r="D56" s="226"/>
      <c r="E56" s="226"/>
      <c r="F56" s="227"/>
    </row>
    <row r="57" spans="1:6" ht="12.75">
      <c r="A57">
        <v>9.6</v>
      </c>
      <c r="C57" s="225"/>
      <c r="D57" s="226"/>
      <c r="E57" s="226"/>
      <c r="F57" s="227"/>
    </row>
    <row r="58" spans="1:6" ht="12.75">
      <c r="A58">
        <v>9.8</v>
      </c>
      <c r="C58" s="225"/>
      <c r="D58" s="226"/>
      <c r="E58" s="226"/>
      <c r="F58" s="227"/>
    </row>
    <row r="59" spans="1:6" ht="12.75">
      <c r="A59">
        <v>10</v>
      </c>
      <c r="C59" s="225"/>
      <c r="D59" s="226"/>
      <c r="E59" s="226"/>
      <c r="F59" s="227"/>
    </row>
    <row r="60" spans="1:6" ht="12.75">
      <c r="A60">
        <v>10.2</v>
      </c>
      <c r="C60" s="225"/>
      <c r="D60" s="226"/>
      <c r="E60" s="226"/>
      <c r="F60" s="227"/>
    </row>
    <row r="61" spans="1:6" ht="12.75">
      <c r="A61">
        <v>10.4</v>
      </c>
      <c r="C61" s="225"/>
      <c r="D61" s="226"/>
      <c r="E61" s="226"/>
      <c r="F61" s="227"/>
    </row>
    <row r="62" spans="1:6" ht="12.75">
      <c r="A62">
        <v>10.6</v>
      </c>
      <c r="C62" s="225"/>
      <c r="D62" s="226"/>
      <c r="E62" s="226"/>
      <c r="F62" s="227"/>
    </row>
    <row r="63" spans="1:6" ht="12.75">
      <c r="A63">
        <v>10.8</v>
      </c>
      <c r="C63" s="225"/>
      <c r="D63" s="226"/>
      <c r="E63" s="226"/>
      <c r="F63" s="227"/>
    </row>
    <row r="64" spans="1:6" ht="12.75">
      <c r="A64">
        <v>11</v>
      </c>
      <c r="C64" s="225"/>
      <c r="D64" s="226"/>
      <c r="E64" s="226"/>
      <c r="F64" s="227"/>
    </row>
    <row r="65" spans="1:6" ht="12.75">
      <c r="A65">
        <v>11.2</v>
      </c>
      <c r="C65" s="225"/>
      <c r="D65" s="226"/>
      <c r="E65" s="226"/>
      <c r="F65" s="227"/>
    </row>
    <row r="66" spans="1:6" ht="12.75">
      <c r="A66">
        <v>11.4</v>
      </c>
      <c r="C66" s="225"/>
      <c r="D66" s="226"/>
      <c r="E66" s="226"/>
      <c r="F66" s="227"/>
    </row>
    <row r="67" spans="1:6" ht="12.75">
      <c r="A67">
        <v>11.6</v>
      </c>
      <c r="C67" s="225"/>
      <c r="D67" s="226"/>
      <c r="E67" s="226"/>
      <c r="F67" s="227"/>
    </row>
    <row r="68" spans="1:6" ht="12.75">
      <c r="A68">
        <v>11.8</v>
      </c>
      <c r="C68" s="225"/>
      <c r="D68" s="226"/>
      <c r="E68" s="226"/>
      <c r="F68" s="227"/>
    </row>
    <row r="69" spans="1:6" ht="12.75">
      <c r="A69">
        <v>12</v>
      </c>
      <c r="C69" s="225"/>
      <c r="D69" s="226"/>
      <c r="E69" s="226"/>
      <c r="F69" s="227"/>
    </row>
    <row r="70" spans="1:6" ht="12.75">
      <c r="A70">
        <v>12.2</v>
      </c>
      <c r="C70" s="225"/>
      <c r="D70" s="226"/>
      <c r="E70" s="226"/>
      <c r="F70" s="227"/>
    </row>
    <row r="71" spans="1:6" ht="12.75">
      <c r="A71">
        <v>12.4</v>
      </c>
      <c r="C71" s="225"/>
      <c r="D71" s="226"/>
      <c r="E71" s="226"/>
      <c r="F71" s="227"/>
    </row>
    <row r="72" spans="1:6" ht="12.75">
      <c r="A72">
        <v>12.6</v>
      </c>
      <c r="C72" s="225"/>
      <c r="D72" s="226"/>
      <c r="E72" s="226"/>
      <c r="F72" s="227"/>
    </row>
    <row r="73" spans="1:6" ht="12.75">
      <c r="A73">
        <v>12.8</v>
      </c>
      <c r="C73" s="225"/>
      <c r="D73" s="226"/>
      <c r="E73" s="226"/>
      <c r="F73" s="227"/>
    </row>
    <row r="74" spans="1:6" ht="12.75">
      <c r="A74">
        <v>13</v>
      </c>
      <c r="C74" s="225"/>
      <c r="D74" s="226"/>
      <c r="E74" s="226"/>
      <c r="F74" s="227"/>
    </row>
    <row r="75" spans="1:6" ht="12.75">
      <c r="A75">
        <v>13.2</v>
      </c>
      <c r="C75" s="225"/>
      <c r="D75" s="226"/>
      <c r="E75" s="226"/>
      <c r="F75" s="227"/>
    </row>
    <row r="76" spans="1:6" ht="12.75">
      <c r="A76">
        <v>13.4</v>
      </c>
      <c r="C76" s="225"/>
      <c r="D76" s="226"/>
      <c r="E76" s="226"/>
      <c r="F76" s="227"/>
    </row>
    <row r="77" spans="1:6" ht="12.75">
      <c r="A77">
        <v>13.6</v>
      </c>
      <c r="C77" s="225"/>
      <c r="D77" s="226"/>
      <c r="E77" s="226"/>
      <c r="F77" s="227"/>
    </row>
    <row r="78" spans="1:6" ht="12.75">
      <c r="A78">
        <v>13.8</v>
      </c>
      <c r="C78" s="225"/>
      <c r="D78" s="226"/>
      <c r="E78" s="226"/>
      <c r="F78" s="227"/>
    </row>
    <row r="79" spans="1:6" ht="12.75">
      <c r="A79">
        <v>14</v>
      </c>
      <c r="C79" s="228"/>
      <c r="D79" s="229"/>
      <c r="E79" s="229"/>
      <c r="F79" s="230"/>
    </row>
  </sheetData>
  <mergeCells count="1">
    <mergeCell ref="C6:F6"/>
  </mergeCell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I38" sqref="I38"/>
    </sheetView>
  </sheetViews>
  <sheetFormatPr defaultColWidth="9.140625" defaultRowHeight="12.75"/>
  <cols>
    <col min="3" max="3" width="15.140625" style="0" customWidth="1"/>
    <col min="4" max="4" width="14.140625" style="0" customWidth="1"/>
    <col min="5" max="5" width="15.140625" style="0" customWidth="1"/>
  </cols>
  <sheetData>
    <row r="1" ht="12.75">
      <c r="A1" s="1" t="s">
        <v>88</v>
      </c>
    </row>
    <row r="2" spans="1:4" ht="15.75">
      <c r="A2" t="s">
        <v>76</v>
      </c>
      <c r="B2" s="235">
        <v>3</v>
      </c>
      <c r="C2" t="s">
        <v>78</v>
      </c>
      <c r="D2" s="235">
        <v>6</v>
      </c>
    </row>
    <row r="3" spans="1:4" ht="15.75">
      <c r="A3" s="208" t="s">
        <v>77</v>
      </c>
      <c r="B3" s="207">
        <f>10^-B2</f>
        <v>0.001</v>
      </c>
      <c r="C3" s="208" t="s">
        <v>79</v>
      </c>
      <c r="D3" s="207">
        <f>10^-D2</f>
        <v>1E-06</v>
      </c>
    </row>
    <row r="5" spans="3:5" ht="12.75">
      <c r="C5" s="268" t="s">
        <v>84</v>
      </c>
      <c r="D5" s="269"/>
      <c r="E5" s="270"/>
    </row>
    <row r="6" spans="3:5" ht="15">
      <c r="C6" s="231" t="s">
        <v>82</v>
      </c>
      <c r="D6" s="233" t="s">
        <v>85</v>
      </c>
      <c r="E6" s="234" t="s">
        <v>83</v>
      </c>
    </row>
    <row r="7" spans="1:5" ht="15">
      <c r="A7" s="1" t="s">
        <v>2</v>
      </c>
      <c r="B7" s="1" t="s">
        <v>62</v>
      </c>
      <c r="C7" s="236" t="s">
        <v>64</v>
      </c>
      <c r="D7" s="236" t="s">
        <v>65</v>
      </c>
      <c r="E7" s="236" t="s">
        <v>66</v>
      </c>
    </row>
    <row r="8" spans="1:5" ht="12.75">
      <c r="A8">
        <v>0</v>
      </c>
      <c r="B8">
        <f aca="true" t="shared" si="0" ref="B8:B39">10^-A8</f>
        <v>1</v>
      </c>
      <c r="C8" s="225">
        <f aca="true" t="shared" si="1" ref="C8:C39">$B8^2/($B8^2+$B8*$B$3+$B$3*$D$3)</f>
        <v>0.999000998002996</v>
      </c>
      <c r="D8" s="226">
        <f aca="true" t="shared" si="2" ref="D8:D39">$B8*$B$3/($B8^2+$B8*$B$3+$B$3*$D$3)</f>
        <v>0.000999000998002996</v>
      </c>
      <c r="E8" s="226">
        <f aca="true" t="shared" si="3" ref="E8:E39">$B$3*$D$3/($B8^2+$B8*$B$3+$B$3*$D$3)</f>
        <v>9.99000998002996E-10</v>
      </c>
    </row>
    <row r="9" spans="1:5" ht="12.75">
      <c r="A9">
        <v>0.2</v>
      </c>
      <c r="B9">
        <f t="shared" si="0"/>
        <v>0.6309573444801932</v>
      </c>
      <c r="C9" s="225">
        <f t="shared" si="1"/>
        <v>0.998417612215255</v>
      </c>
      <c r="D9" s="226">
        <f t="shared" si="2"/>
        <v>0.0015823852768332377</v>
      </c>
      <c r="E9" s="226">
        <f t="shared" si="3"/>
        <v>2.507911653103693E-09</v>
      </c>
    </row>
    <row r="10" spans="1:5" ht="12.75">
      <c r="A10">
        <v>0.4</v>
      </c>
      <c r="B10">
        <f t="shared" si="0"/>
        <v>0.3981071705534972</v>
      </c>
      <c r="C10" s="225">
        <f t="shared" si="1"/>
        <v>0.9974944010547196</v>
      </c>
      <c r="D10" s="226">
        <f t="shared" si="2"/>
        <v>0.002505592651516126</v>
      </c>
      <c r="E10" s="226">
        <f t="shared" si="3"/>
        <v>6.29376418423347E-09</v>
      </c>
    </row>
    <row r="11" spans="1:5" ht="12.75">
      <c r="A11">
        <v>0.6</v>
      </c>
      <c r="B11">
        <f t="shared" si="0"/>
        <v>0.251188643150958</v>
      </c>
      <c r="C11" s="225">
        <f t="shared" si="1"/>
        <v>0.9960346986573579</v>
      </c>
      <c r="D11" s="226">
        <f t="shared" si="2"/>
        <v>0.00396528555655586</v>
      </c>
      <c r="E11" s="226">
        <f t="shared" si="3"/>
        <v>1.5786086133571032E-08</v>
      </c>
    </row>
    <row r="12" spans="1:5" ht="12.75">
      <c r="A12">
        <v>0.8</v>
      </c>
      <c r="B12">
        <f t="shared" si="0"/>
        <v>0.15848931924611132</v>
      </c>
      <c r="C12" s="225">
        <f t="shared" si="1"/>
        <v>0.993729948345513</v>
      </c>
      <c r="D12" s="226">
        <f t="shared" si="2"/>
        <v>0.006270012093385246</v>
      </c>
      <c r="E12" s="226">
        <f t="shared" si="3"/>
        <v>3.9561101803010536E-08</v>
      </c>
    </row>
    <row r="13" spans="1:5" ht="12.75">
      <c r="A13">
        <v>1</v>
      </c>
      <c r="B13">
        <f t="shared" si="0"/>
        <v>0.1</v>
      </c>
      <c r="C13" s="225">
        <f t="shared" si="1"/>
        <v>0.990098911871395</v>
      </c>
      <c r="D13" s="226">
        <f t="shared" si="2"/>
        <v>0.009900989118713949</v>
      </c>
      <c r="E13" s="226">
        <f t="shared" si="3"/>
        <v>9.900989118713949E-08</v>
      </c>
    </row>
    <row r="14" spans="1:5" ht="12.75">
      <c r="A14">
        <v>1.2</v>
      </c>
      <c r="B14">
        <f t="shared" si="0"/>
        <v>0.06309573444801932</v>
      </c>
      <c r="C14" s="225">
        <f t="shared" si="1"/>
        <v>0.9843980943463659</v>
      </c>
      <c r="D14" s="226">
        <f t="shared" si="2"/>
        <v>0.015601658384012484</v>
      </c>
      <c r="E14" s="226">
        <f t="shared" si="3"/>
        <v>2.4726962163925245E-07</v>
      </c>
    </row>
    <row r="15" spans="1:5" ht="12.75">
      <c r="A15">
        <v>1.4</v>
      </c>
      <c r="B15">
        <f t="shared" si="0"/>
        <v>0.03981071705534973</v>
      </c>
      <c r="C15" s="225">
        <f t="shared" si="1"/>
        <v>0.9754960320350123</v>
      </c>
      <c r="D15" s="226">
        <f t="shared" si="2"/>
        <v>0.02450335246860182</v>
      </c>
      <c r="E15" s="226">
        <f t="shared" si="3"/>
        <v>6.154963859237769E-07</v>
      </c>
    </row>
    <row r="16" spans="1:5" ht="12.75">
      <c r="A16">
        <v>1.6</v>
      </c>
      <c r="B16">
        <f t="shared" si="0"/>
        <v>0.02511886431509578</v>
      </c>
      <c r="C16" s="225">
        <f t="shared" si="1"/>
        <v>0.9617120302636</v>
      </c>
      <c r="D16" s="226">
        <f t="shared" si="2"/>
        <v>0.03828644552555014</v>
      </c>
      <c r="E16" s="226">
        <f t="shared" si="3"/>
        <v>1.5242108498727385E-06</v>
      </c>
    </row>
    <row r="17" spans="1:5" ht="12.75">
      <c r="A17">
        <v>1.8</v>
      </c>
      <c r="B17">
        <f t="shared" si="0"/>
        <v>0.015848931924611124</v>
      </c>
      <c r="C17" s="225">
        <f t="shared" si="1"/>
        <v>0.9406455343759763</v>
      </c>
      <c r="D17" s="226">
        <f t="shared" si="2"/>
        <v>0.05935072084670187</v>
      </c>
      <c r="E17" s="226">
        <f t="shared" si="3"/>
        <v>3.7447773218420286E-06</v>
      </c>
    </row>
    <row r="18" spans="1:5" ht="12.75">
      <c r="A18">
        <v>2</v>
      </c>
      <c r="B18">
        <f t="shared" si="0"/>
        <v>0.01</v>
      </c>
      <c r="C18" s="225">
        <f t="shared" si="1"/>
        <v>0.90908264470323</v>
      </c>
      <c r="D18" s="226">
        <f t="shared" si="2"/>
        <v>0.090908264470323</v>
      </c>
      <c r="E18" s="226">
        <f t="shared" si="3"/>
        <v>9.0908264470323E-06</v>
      </c>
    </row>
    <row r="19" spans="1:5" ht="12.75">
      <c r="A19">
        <v>2.2</v>
      </c>
      <c r="B19">
        <f t="shared" si="0"/>
        <v>0.006309573444801925</v>
      </c>
      <c r="C19" s="225">
        <f t="shared" si="1"/>
        <v>0.8631743956778227</v>
      </c>
      <c r="D19" s="226">
        <f t="shared" si="2"/>
        <v>0.13680392236165184</v>
      </c>
      <c r="E19" s="226">
        <f t="shared" si="3"/>
        <v>2.1681960525296096E-05</v>
      </c>
    </row>
    <row r="20" spans="1:5" ht="12.75">
      <c r="A20">
        <v>2.4</v>
      </c>
      <c r="B20">
        <f t="shared" si="0"/>
        <v>0.003981071705534972</v>
      </c>
      <c r="C20" s="225">
        <f t="shared" si="1"/>
        <v>0.799199688538122</v>
      </c>
      <c r="D20" s="226">
        <f t="shared" si="2"/>
        <v>0.20074988537055916</v>
      </c>
      <c r="E20" s="226">
        <f t="shared" si="3"/>
        <v>5.0426091318941126E-05</v>
      </c>
    </row>
    <row r="21" spans="1:5" ht="12.75">
      <c r="A21">
        <v>2.6</v>
      </c>
      <c r="B21">
        <f t="shared" si="0"/>
        <v>0.0025118864315095777</v>
      </c>
      <c r="C21" s="225">
        <f t="shared" si="1"/>
        <v>0.7151716792437068</v>
      </c>
      <c r="D21" s="226">
        <f t="shared" si="2"/>
        <v>0.2847149736837057</v>
      </c>
      <c r="E21" s="226">
        <f t="shared" si="3"/>
        <v>0.00011334707258743362</v>
      </c>
    </row>
    <row r="22" spans="1:5" ht="12.75">
      <c r="A22">
        <v>2.8</v>
      </c>
      <c r="B22">
        <f t="shared" si="0"/>
        <v>0.0015848931924611134</v>
      </c>
      <c r="C22" s="225">
        <f t="shared" si="1"/>
        <v>0.612987193556201</v>
      </c>
      <c r="D22" s="226">
        <f t="shared" si="2"/>
        <v>0.3867687718465868</v>
      </c>
      <c r="E22" s="226">
        <f t="shared" si="3"/>
        <v>0.00024403459721218817</v>
      </c>
    </row>
    <row r="23" spans="1:5" ht="12.75">
      <c r="A23">
        <v>3</v>
      </c>
      <c r="B23">
        <f t="shared" si="0"/>
        <v>0.001</v>
      </c>
      <c r="C23" s="225">
        <f t="shared" si="1"/>
        <v>0.49975012493753124</v>
      </c>
      <c r="D23" s="226">
        <f t="shared" si="2"/>
        <v>0.49975012493753124</v>
      </c>
      <c r="E23" s="226">
        <f t="shared" si="3"/>
        <v>0.0004997501249375312</v>
      </c>
    </row>
    <row r="24" spans="1:5" ht="12.75">
      <c r="A24">
        <v>3.2</v>
      </c>
      <c r="B24">
        <f t="shared" si="0"/>
        <v>0.0006309573444801924</v>
      </c>
      <c r="C24" s="225">
        <f t="shared" si="1"/>
        <v>0.38648760805091503</v>
      </c>
      <c r="D24" s="226">
        <f t="shared" si="2"/>
        <v>0.6125415789704751</v>
      </c>
      <c r="E24" s="226">
        <f t="shared" si="3"/>
        <v>0.0009708129786096888</v>
      </c>
    </row>
    <row r="25" spans="1:5" ht="12.75">
      <c r="A25">
        <v>3.4</v>
      </c>
      <c r="B25">
        <f t="shared" si="0"/>
        <v>0.0003981071705534971</v>
      </c>
      <c r="C25" s="225">
        <f t="shared" si="1"/>
        <v>0.2842365799380658</v>
      </c>
      <c r="D25" s="226">
        <f t="shared" si="2"/>
        <v>0.7139700084851158</v>
      </c>
      <c r="E25" s="226">
        <f t="shared" si="3"/>
        <v>0.001793411576818543</v>
      </c>
    </row>
    <row r="26" spans="1:5" ht="12.75">
      <c r="A26">
        <v>3.6</v>
      </c>
      <c r="B26">
        <f t="shared" si="0"/>
        <v>0.00025118864315095774</v>
      </c>
      <c r="C26" s="225">
        <f t="shared" si="1"/>
        <v>0.20012325040815446</v>
      </c>
      <c r="D26" s="226">
        <f t="shared" si="2"/>
        <v>0.7967050098195947</v>
      </c>
      <c r="E26" s="226">
        <f t="shared" si="3"/>
        <v>0.0031717397722507545</v>
      </c>
    </row>
    <row r="27" spans="1:5" ht="12.75">
      <c r="A27">
        <v>3.8</v>
      </c>
      <c r="B27">
        <f t="shared" si="0"/>
        <v>0.0001584893192461112</v>
      </c>
      <c r="C27" s="225">
        <f t="shared" si="1"/>
        <v>0.13606582238412837</v>
      </c>
      <c r="D27" s="226">
        <f t="shared" si="2"/>
        <v>0.8585172996600335</v>
      </c>
      <c r="E27" s="226">
        <f t="shared" si="3"/>
        <v>0.005416877955838017</v>
      </c>
    </row>
    <row r="28" spans="1:5" ht="12.75">
      <c r="A28">
        <v>4</v>
      </c>
      <c r="B28">
        <f t="shared" si="0"/>
        <v>0.0001</v>
      </c>
      <c r="C28" s="225">
        <f t="shared" si="1"/>
        <v>0.09009009009009009</v>
      </c>
      <c r="D28" s="226">
        <f t="shared" si="2"/>
        <v>0.9009009009009009</v>
      </c>
      <c r="E28" s="226">
        <f t="shared" si="3"/>
        <v>0.009009009009009009</v>
      </c>
    </row>
    <row r="29" spans="1:5" ht="12.75">
      <c r="A29">
        <v>4.2</v>
      </c>
      <c r="B29">
        <f t="shared" si="0"/>
        <v>6.309573444801928E-05</v>
      </c>
      <c r="C29" s="225">
        <f t="shared" si="1"/>
        <v>0.058479119842303556</v>
      </c>
      <c r="D29" s="226">
        <f t="shared" si="2"/>
        <v>0.9268315893918461</v>
      </c>
      <c r="E29" s="226">
        <f t="shared" si="3"/>
        <v>0.014689290765850519</v>
      </c>
    </row>
    <row r="30" spans="1:5" ht="12.75">
      <c r="A30">
        <v>4.4</v>
      </c>
      <c r="B30">
        <f t="shared" si="0"/>
        <v>3.9810717055349634E-05</v>
      </c>
      <c r="C30" s="225">
        <f t="shared" si="1"/>
        <v>0.037383426802848015</v>
      </c>
      <c r="D30" s="226">
        <f t="shared" si="2"/>
        <v>0.9390292254940572</v>
      </c>
      <c r="E30" s="226">
        <f t="shared" si="3"/>
        <v>0.023587347703094775</v>
      </c>
    </row>
    <row r="31" spans="1:5" ht="12.75">
      <c r="A31">
        <v>4.6</v>
      </c>
      <c r="B31">
        <f t="shared" si="0"/>
        <v>2.511886431509579E-05</v>
      </c>
      <c r="C31" s="225">
        <f t="shared" si="1"/>
        <v>0.023587347703094712</v>
      </c>
      <c r="D31" s="226">
        <f t="shared" si="2"/>
        <v>0.9390292254940572</v>
      </c>
      <c r="E31" s="226">
        <f t="shared" si="3"/>
        <v>0.03738342680284812</v>
      </c>
    </row>
    <row r="32" spans="1:5" ht="12.75">
      <c r="A32">
        <v>4.8</v>
      </c>
      <c r="B32">
        <f t="shared" si="0"/>
        <v>1.584893192461113E-05</v>
      </c>
      <c r="C32" s="225">
        <f t="shared" si="1"/>
        <v>0.0146892907658505</v>
      </c>
      <c r="D32" s="226">
        <f t="shared" si="2"/>
        <v>0.9268315893918458</v>
      </c>
      <c r="E32" s="226">
        <f t="shared" si="3"/>
        <v>0.058479119842303605</v>
      </c>
    </row>
    <row r="33" spans="1:5" ht="12.75">
      <c r="A33">
        <v>5</v>
      </c>
      <c r="B33">
        <f t="shared" si="0"/>
        <v>1E-05</v>
      </c>
      <c r="C33" s="225">
        <f t="shared" si="1"/>
        <v>0.00900900900900901</v>
      </c>
      <c r="D33" s="226">
        <f t="shared" si="2"/>
        <v>0.9009009009009009</v>
      </c>
      <c r="E33" s="226">
        <f t="shared" si="3"/>
        <v>0.0900900900900901</v>
      </c>
    </row>
    <row r="34" spans="1:5" ht="12.75">
      <c r="A34">
        <v>5.2</v>
      </c>
      <c r="B34">
        <f t="shared" si="0"/>
        <v>6.309573444801921E-06</v>
      </c>
      <c r="C34" s="225">
        <f t="shared" si="1"/>
        <v>0.0054168779558379995</v>
      </c>
      <c r="D34" s="226">
        <f t="shared" si="2"/>
        <v>0.8585172996600333</v>
      </c>
      <c r="E34" s="226">
        <f t="shared" si="3"/>
        <v>0.1360658223841287</v>
      </c>
    </row>
    <row r="35" spans="1:5" ht="12.75">
      <c r="A35">
        <v>5.4</v>
      </c>
      <c r="B35">
        <f t="shared" si="0"/>
        <v>3.981071705534966E-06</v>
      </c>
      <c r="C35" s="225">
        <f t="shared" si="1"/>
        <v>0.0031717397722507445</v>
      </c>
      <c r="D35" s="226">
        <f t="shared" si="2"/>
        <v>0.7967050098195944</v>
      </c>
      <c r="E35" s="226">
        <f t="shared" si="3"/>
        <v>0.20012325040815493</v>
      </c>
    </row>
    <row r="36" spans="1:5" ht="12.75">
      <c r="A36">
        <v>5.6</v>
      </c>
      <c r="B36">
        <f t="shared" si="0"/>
        <v>2.5118864315095806E-06</v>
      </c>
      <c r="C36" s="225">
        <f t="shared" si="1"/>
        <v>0.0017934115768185421</v>
      </c>
      <c r="D36" s="226">
        <f t="shared" si="2"/>
        <v>0.7139700084851157</v>
      </c>
      <c r="E36" s="226">
        <f t="shared" si="3"/>
        <v>0.2842365799380658</v>
      </c>
    </row>
    <row r="37" spans="1:5" ht="12.75">
      <c r="A37">
        <v>5.8</v>
      </c>
      <c r="B37">
        <f t="shared" si="0"/>
        <v>1.5848931924611111E-06</v>
      </c>
      <c r="C37" s="225">
        <f t="shared" si="1"/>
        <v>0.0009708129786096851</v>
      </c>
      <c r="D37" s="226">
        <f t="shared" si="2"/>
        <v>0.6125415789704745</v>
      </c>
      <c r="E37" s="226">
        <f t="shared" si="3"/>
        <v>0.38648760805091575</v>
      </c>
    </row>
    <row r="38" spans="1:5" ht="12.75">
      <c r="A38">
        <v>6</v>
      </c>
      <c r="B38">
        <f t="shared" si="0"/>
        <v>1E-06</v>
      </c>
      <c r="C38" s="225">
        <f t="shared" si="1"/>
        <v>0.0004997501249375312</v>
      </c>
      <c r="D38" s="226">
        <f t="shared" si="2"/>
        <v>0.49975012493753124</v>
      </c>
      <c r="E38" s="226">
        <f t="shared" si="3"/>
        <v>0.49975012493753124</v>
      </c>
    </row>
    <row r="39" spans="1:5" ht="12.75">
      <c r="A39">
        <v>6.2</v>
      </c>
      <c r="B39">
        <f t="shared" si="0"/>
        <v>6.309573444801925E-07</v>
      </c>
      <c r="C39" s="225">
        <f t="shared" si="1"/>
        <v>0.00024403459721218768</v>
      </c>
      <c r="D39" s="226">
        <f t="shared" si="2"/>
        <v>0.38676877184658653</v>
      </c>
      <c r="E39" s="226">
        <f t="shared" si="3"/>
        <v>0.6129871935562012</v>
      </c>
    </row>
    <row r="40" spans="1:5" ht="12.75">
      <c r="A40">
        <v>6.4</v>
      </c>
      <c r="B40">
        <f aca="true" t="shared" si="4" ref="B40:B71">10^-A40</f>
        <v>3.981071705534962E-07</v>
      </c>
      <c r="C40" s="225">
        <f aca="true" t="shared" si="5" ref="C40:C71">$B40^2/($B40^2+$B40*$B$3+$B$3*$D$3)</f>
        <v>0.0001133470725874329</v>
      </c>
      <c r="D40" s="226">
        <f aca="true" t="shared" si="6" ref="D40:D71">$B40*$B$3/($B40^2+$B40*$B$3+$B$3*$D$3)</f>
        <v>0.28471497368370496</v>
      </c>
      <c r="E40" s="226">
        <f aca="true" t="shared" si="7" ref="E40:E71">$B$3*$D$3/($B40^2+$B40*$B$3+$B$3*$D$3)</f>
        <v>0.7151716792437075</v>
      </c>
    </row>
    <row r="41" spans="1:5" ht="12.75">
      <c r="A41">
        <v>6.6</v>
      </c>
      <c r="B41">
        <f t="shared" si="4"/>
        <v>2.511886431509578E-07</v>
      </c>
      <c r="C41" s="225">
        <f t="shared" si="5"/>
        <v>5.042609131894102E-05</v>
      </c>
      <c r="D41" s="226">
        <f t="shared" si="6"/>
        <v>0.20074988537055896</v>
      </c>
      <c r="E41" s="226">
        <f t="shared" si="7"/>
        <v>0.7991996885381221</v>
      </c>
    </row>
    <row r="42" spans="1:5" ht="12.75">
      <c r="A42">
        <v>6.8</v>
      </c>
      <c r="B42">
        <f t="shared" si="4"/>
        <v>1.5848931924611122E-07</v>
      </c>
      <c r="C42" s="225">
        <f t="shared" si="5"/>
        <v>2.168196052529602E-05</v>
      </c>
      <c r="D42" s="226">
        <f t="shared" si="6"/>
        <v>0.13680392236165162</v>
      </c>
      <c r="E42" s="226">
        <f t="shared" si="7"/>
        <v>0.8631743956778231</v>
      </c>
    </row>
    <row r="43" spans="1:5" ht="12.75">
      <c r="A43">
        <v>7</v>
      </c>
      <c r="B43">
        <f t="shared" si="4"/>
        <v>1E-07</v>
      </c>
      <c r="C43" s="225">
        <f t="shared" si="5"/>
        <v>9.090826447032298E-06</v>
      </c>
      <c r="D43" s="226">
        <f t="shared" si="6"/>
        <v>0.090908264470323</v>
      </c>
      <c r="E43" s="226">
        <f t="shared" si="7"/>
        <v>0.90908264470323</v>
      </c>
    </row>
    <row r="44" spans="1:5" ht="12.75">
      <c r="A44">
        <v>7.2</v>
      </c>
      <c r="B44">
        <f t="shared" si="4"/>
        <v>6.309573444801918E-08</v>
      </c>
      <c r="C44" s="225">
        <f t="shared" si="5"/>
        <v>3.744777321842006E-06</v>
      </c>
      <c r="D44" s="226">
        <f t="shared" si="6"/>
        <v>0.0593507208467017</v>
      </c>
      <c r="E44" s="226">
        <f t="shared" si="7"/>
        <v>0.9406455343759764</v>
      </c>
    </row>
    <row r="45" spans="1:5" ht="12.75">
      <c r="A45">
        <v>7.4</v>
      </c>
      <c r="B45">
        <f t="shared" si="4"/>
        <v>3.981071705534957E-08</v>
      </c>
      <c r="C45" s="225">
        <f t="shared" si="5"/>
        <v>1.5242108498727243E-06</v>
      </c>
      <c r="D45" s="226">
        <f t="shared" si="6"/>
        <v>0.03828644552554997</v>
      </c>
      <c r="E45" s="226">
        <f t="shared" si="7"/>
        <v>0.9617120302636002</v>
      </c>
    </row>
    <row r="46" spans="1:5" ht="12.75">
      <c r="A46">
        <v>7.6</v>
      </c>
      <c r="B46">
        <f t="shared" si="4"/>
        <v>2.511886431509575E-08</v>
      </c>
      <c r="C46" s="225">
        <f t="shared" si="5"/>
        <v>6.154963859237744E-07</v>
      </c>
      <c r="D46" s="226">
        <f t="shared" si="6"/>
        <v>0.024503352468601775</v>
      </c>
      <c r="E46" s="226">
        <f t="shared" si="7"/>
        <v>0.9754960320350123</v>
      </c>
    </row>
    <row r="47" spans="1:5" ht="12.75">
      <c r="A47">
        <v>7.8</v>
      </c>
      <c r="B47">
        <f t="shared" si="4"/>
        <v>1.5848931924611133E-08</v>
      </c>
      <c r="C47" s="225">
        <f t="shared" si="5"/>
        <v>2.4726962163925234E-07</v>
      </c>
      <c r="D47" s="226">
        <f t="shared" si="6"/>
        <v>0.01560165838401248</v>
      </c>
      <c r="E47" s="226">
        <f t="shared" si="7"/>
        <v>0.9843980943463659</v>
      </c>
    </row>
    <row r="48" spans="1:5" ht="12.75">
      <c r="A48">
        <v>8</v>
      </c>
      <c r="B48">
        <f t="shared" si="4"/>
        <v>1E-08</v>
      </c>
      <c r="C48" s="225">
        <f t="shared" si="5"/>
        <v>9.900989118713949E-08</v>
      </c>
      <c r="D48" s="226">
        <f t="shared" si="6"/>
        <v>0.009900989118713949</v>
      </c>
      <c r="E48" s="226">
        <f t="shared" si="7"/>
        <v>0.9900989118713949</v>
      </c>
    </row>
    <row r="49" spans="1:5" ht="12.75">
      <c r="A49">
        <v>8.2</v>
      </c>
      <c r="B49">
        <f t="shared" si="4"/>
        <v>6.309573444801933E-09</v>
      </c>
      <c r="C49" s="225">
        <f t="shared" si="5"/>
        <v>3.956110180301052E-08</v>
      </c>
      <c r="D49" s="226">
        <f t="shared" si="6"/>
        <v>0.006270012093385245</v>
      </c>
      <c r="E49" s="226">
        <f t="shared" si="7"/>
        <v>0.9937299483455131</v>
      </c>
    </row>
    <row r="50" spans="1:5" ht="12.75">
      <c r="A50">
        <v>8.4</v>
      </c>
      <c r="B50">
        <f t="shared" si="4"/>
        <v>3.9810717055349665E-09</v>
      </c>
      <c r="C50" s="225">
        <f t="shared" si="5"/>
        <v>1.5786086133570982E-08</v>
      </c>
      <c r="D50" s="226">
        <f t="shared" si="6"/>
        <v>0.003965285556555854</v>
      </c>
      <c r="E50" s="226">
        <f t="shared" si="7"/>
        <v>0.996034698657358</v>
      </c>
    </row>
    <row r="51" spans="1:5" ht="12.75">
      <c r="A51">
        <v>8.6</v>
      </c>
      <c r="B51">
        <f t="shared" si="4"/>
        <v>2.511886431509581E-09</v>
      </c>
      <c r="C51" s="225">
        <f t="shared" si="5"/>
        <v>6.2937641842334736E-09</v>
      </c>
      <c r="D51" s="226">
        <f t="shared" si="6"/>
        <v>0.0025055926515161267</v>
      </c>
      <c r="E51" s="226">
        <f t="shared" si="7"/>
        <v>0.9974944010547198</v>
      </c>
    </row>
    <row r="52" spans="1:5" ht="12.75">
      <c r="A52">
        <v>8.8</v>
      </c>
      <c r="B52">
        <f t="shared" si="4"/>
        <v>1.584893192461106E-09</v>
      </c>
      <c r="C52" s="225">
        <f t="shared" si="5"/>
        <v>2.5079116531036693E-09</v>
      </c>
      <c r="D52" s="226">
        <f t="shared" si="6"/>
        <v>0.0015823852768332301</v>
      </c>
      <c r="E52" s="226">
        <f t="shared" si="7"/>
        <v>0.9984176122152552</v>
      </c>
    </row>
    <row r="53" spans="1:5" ht="12.75">
      <c r="A53">
        <v>9</v>
      </c>
      <c r="B53">
        <f t="shared" si="4"/>
        <v>1E-09</v>
      </c>
      <c r="C53" s="225">
        <f t="shared" si="5"/>
        <v>9.99000998002996E-10</v>
      </c>
      <c r="D53" s="226">
        <f t="shared" si="6"/>
        <v>0.000999000998002996</v>
      </c>
      <c r="E53" s="226">
        <f t="shared" si="7"/>
        <v>0.9990009980029959</v>
      </c>
    </row>
    <row r="54" spans="1:5" ht="12.75">
      <c r="A54">
        <v>9.2</v>
      </c>
      <c r="B54">
        <f t="shared" si="4"/>
        <v>6.309573444801927E-10</v>
      </c>
      <c r="C54" s="225">
        <f t="shared" si="5"/>
        <v>3.978561401414384E-10</v>
      </c>
      <c r="D54" s="226">
        <f t="shared" si="6"/>
        <v>0.0006305594880890211</v>
      </c>
      <c r="E54" s="226">
        <f t="shared" si="7"/>
        <v>0.9993694401140549</v>
      </c>
    </row>
    <row r="55" spans="1:5" ht="12.75">
      <c r="A55">
        <v>9.4</v>
      </c>
      <c r="B55">
        <f t="shared" si="4"/>
        <v>3.981071705534962E-10</v>
      </c>
      <c r="C55" s="225">
        <f t="shared" si="5"/>
        <v>1.584262485954319E-10</v>
      </c>
      <c r="D55" s="226">
        <f t="shared" si="6"/>
        <v>0.00039794874424183013</v>
      </c>
      <c r="E55" s="226">
        <f t="shared" si="7"/>
        <v>0.9996020510973319</v>
      </c>
    </row>
    <row r="56" spans="1:5" ht="12.75">
      <c r="A56">
        <v>9.6</v>
      </c>
      <c r="B56">
        <f t="shared" si="4"/>
        <v>2.5118864315095784E-10</v>
      </c>
      <c r="C56" s="225">
        <f t="shared" si="5"/>
        <v>6.30798894921875E-11</v>
      </c>
      <c r="D56" s="226">
        <f t="shared" si="6"/>
        <v>0.0002511255632456207</v>
      </c>
      <c r="E56" s="226">
        <f t="shared" si="7"/>
        <v>0.9997488743736744</v>
      </c>
    </row>
    <row r="57" spans="1:5" ht="12.75">
      <c r="A57">
        <v>9.8</v>
      </c>
      <c r="B57">
        <f t="shared" si="4"/>
        <v>1.5848931924611098E-10</v>
      </c>
      <c r="C57" s="225">
        <f t="shared" si="5"/>
        <v>2.5114883873616754E-11</v>
      </c>
      <c r="D57" s="226">
        <f t="shared" si="6"/>
        <v>0.00015846420435825694</v>
      </c>
      <c r="E57" s="226">
        <f t="shared" si="7"/>
        <v>0.9998415357705269</v>
      </c>
    </row>
    <row r="58" spans="1:5" ht="12.75">
      <c r="A58">
        <v>10</v>
      </c>
      <c r="B58">
        <f t="shared" si="4"/>
        <v>1E-10</v>
      </c>
      <c r="C58" s="225">
        <f t="shared" si="5"/>
        <v>9.999000099890021E-12</v>
      </c>
      <c r="D58" s="226">
        <f t="shared" si="6"/>
        <v>9.99900009989002E-05</v>
      </c>
      <c r="E58" s="226">
        <f t="shared" si="7"/>
        <v>0.9999000099890021</v>
      </c>
    </row>
    <row r="59" spans="1:5" ht="12.75">
      <c r="A59">
        <v>10.2</v>
      </c>
      <c r="B59">
        <f t="shared" si="4"/>
        <v>6.309573444801919E-11</v>
      </c>
      <c r="C59" s="225">
        <f t="shared" si="5"/>
        <v>3.98082053272389E-12</v>
      </c>
      <c r="D59" s="226">
        <f t="shared" si="6"/>
        <v>6.309175362723529E-05</v>
      </c>
      <c r="E59" s="226">
        <f t="shared" si="7"/>
        <v>0.999936908242392</v>
      </c>
    </row>
    <row r="60" spans="1:5" ht="12.75">
      <c r="A60">
        <v>10.4</v>
      </c>
      <c r="B60">
        <f t="shared" si="4"/>
        <v>3.981071705534958E-11</v>
      </c>
      <c r="C60" s="225">
        <f t="shared" si="5"/>
        <v>1.5848300992359285E-12</v>
      </c>
      <c r="D60" s="226">
        <f t="shared" si="6"/>
        <v>3.980913222518725E-05</v>
      </c>
      <c r="E60" s="226">
        <f t="shared" si="7"/>
        <v>0.99996019086619</v>
      </c>
    </row>
    <row r="61" spans="1:5" ht="12.75">
      <c r="A61">
        <v>10.6</v>
      </c>
      <c r="B61">
        <f t="shared" si="4"/>
        <v>2.511886431509576E-11</v>
      </c>
      <c r="C61" s="225">
        <f t="shared" si="5"/>
        <v>6.309414959459655E-13</v>
      </c>
      <c r="D61" s="226">
        <f t="shared" si="6"/>
        <v>2.5118233373583962E-05</v>
      </c>
      <c r="E61" s="226">
        <f t="shared" si="7"/>
        <v>0.9999748817659955</v>
      </c>
    </row>
    <row r="62" spans="1:5" ht="12.75">
      <c r="A62">
        <v>10.8</v>
      </c>
      <c r="B62">
        <f t="shared" si="4"/>
        <v>1.5848931924611082E-11</v>
      </c>
      <c r="C62" s="225">
        <f t="shared" si="5"/>
        <v>2.511846621422824E-13</v>
      </c>
      <c r="D62" s="226">
        <f t="shared" si="6"/>
        <v>1.5848680739944955E-05</v>
      </c>
      <c r="E62" s="226">
        <f t="shared" si="7"/>
        <v>0.9999841513190088</v>
      </c>
    </row>
    <row r="63" spans="1:5" ht="12.75">
      <c r="A63">
        <v>11</v>
      </c>
      <c r="B63">
        <f t="shared" si="4"/>
        <v>1E-11</v>
      </c>
      <c r="C63" s="225">
        <f t="shared" si="5"/>
        <v>9.999900000998989E-14</v>
      </c>
      <c r="D63" s="226">
        <f t="shared" si="6"/>
        <v>9.99990000099899E-06</v>
      </c>
      <c r="E63" s="226">
        <f t="shared" si="7"/>
        <v>0.999990000099899</v>
      </c>
    </row>
    <row r="64" spans="1:5" ht="12.75">
      <c r="A64">
        <v>11.2</v>
      </c>
      <c r="B64">
        <f t="shared" si="4"/>
        <v>6.3095734448019345E-12</v>
      </c>
      <c r="C64" s="225">
        <f t="shared" si="5"/>
        <v>3.98104658682899E-14</v>
      </c>
      <c r="D64" s="226">
        <f t="shared" si="6"/>
        <v>6.309533634335816E-06</v>
      </c>
      <c r="E64" s="226">
        <f t="shared" si="7"/>
        <v>0.9999936904663259</v>
      </c>
    </row>
    <row r="65" spans="1:5" ht="12.75">
      <c r="A65">
        <v>11.4</v>
      </c>
      <c r="B65">
        <f t="shared" si="4"/>
        <v>3.981071705534953E-12</v>
      </c>
      <c r="C65" s="225">
        <f t="shared" si="5"/>
        <v>1.584886882912747E-14</v>
      </c>
      <c r="D65" s="226">
        <f t="shared" si="6"/>
        <v>3.981055856666061E-06</v>
      </c>
      <c r="E65" s="226">
        <f t="shared" si="7"/>
        <v>0.9999960189441275</v>
      </c>
    </row>
    <row r="66" spans="1:5" ht="12.75">
      <c r="A66">
        <v>11.6</v>
      </c>
      <c r="B66">
        <f t="shared" si="4"/>
        <v>2.5118864315095726E-12</v>
      </c>
      <c r="C66" s="225">
        <f t="shared" si="5"/>
        <v>6.309557595909741E-15</v>
      </c>
      <c r="D66" s="226">
        <f t="shared" si="6"/>
        <v>2.511880121951961E-06</v>
      </c>
      <c r="E66" s="226">
        <f t="shared" si="7"/>
        <v>0.9999974881198719</v>
      </c>
    </row>
    <row r="67" spans="1:5" ht="12.75">
      <c r="A67">
        <v>11.8</v>
      </c>
      <c r="B67">
        <f t="shared" si="4"/>
        <v>1.5848931924611065E-12</v>
      </c>
      <c r="C67" s="225">
        <f t="shared" si="5"/>
        <v>2.5118824504441556E-15</v>
      </c>
      <c r="D67" s="226">
        <f t="shared" si="6"/>
        <v>1.584890680578652E-06</v>
      </c>
      <c r="E67" s="226">
        <f t="shared" si="7"/>
        <v>0.9999984151093169</v>
      </c>
    </row>
    <row r="68" spans="1:5" ht="12.75">
      <c r="A68">
        <v>12</v>
      </c>
      <c r="B68">
        <f t="shared" si="4"/>
        <v>1E-12</v>
      </c>
      <c r="C68" s="225">
        <f t="shared" si="5"/>
        <v>9.99999000000999E-16</v>
      </c>
      <c r="D68" s="226">
        <f t="shared" si="6"/>
        <v>9.99999000000999E-07</v>
      </c>
      <c r="E68" s="226">
        <f t="shared" si="7"/>
        <v>0.9999990000009991</v>
      </c>
    </row>
    <row r="69" spans="1:5" ht="12.75">
      <c r="A69">
        <v>12.2</v>
      </c>
      <c r="B69">
        <f t="shared" si="4"/>
        <v>6.309573444801928E-13</v>
      </c>
      <c r="C69" s="225">
        <f t="shared" si="5"/>
        <v>3.9810691936501187E-16</v>
      </c>
      <c r="D69" s="226">
        <f t="shared" si="6"/>
        <v>6.309569463732732E-07</v>
      </c>
      <c r="E69" s="226">
        <f t="shared" si="7"/>
        <v>0.9999993690430533</v>
      </c>
    </row>
    <row r="70" spans="1:5" ht="12.75">
      <c r="A70">
        <v>12.4</v>
      </c>
      <c r="B70">
        <f t="shared" si="4"/>
        <v>3.981071705534963E-13</v>
      </c>
      <c r="C70" s="225">
        <f t="shared" si="5"/>
        <v>1.5848925615040123E-16</v>
      </c>
      <c r="D70" s="226">
        <f t="shared" si="6"/>
        <v>3.9810701206424006E-07</v>
      </c>
      <c r="E70" s="226">
        <f t="shared" si="7"/>
        <v>0.9999996018929876</v>
      </c>
    </row>
    <row r="71" spans="1:5" ht="12.75">
      <c r="A71">
        <v>12.6</v>
      </c>
      <c r="B71">
        <f t="shared" si="4"/>
        <v>2.511886431509579E-13</v>
      </c>
      <c r="C71" s="225">
        <f t="shared" si="5"/>
        <v>6.30957185990913E-17</v>
      </c>
      <c r="D71" s="226">
        <f t="shared" si="6"/>
        <v>2.5118858005523925E-07</v>
      </c>
      <c r="E71" s="226">
        <f t="shared" si="7"/>
        <v>0.9999997488114197</v>
      </c>
    </row>
    <row r="72" spans="1:5" ht="12.75">
      <c r="A72">
        <v>12.8</v>
      </c>
      <c r="B72">
        <f aca="true" t="shared" si="8" ref="B72:B78">10^-A72</f>
        <v>1.5848931924611046E-13</v>
      </c>
      <c r="C72" s="225">
        <f aca="true" t="shared" si="9" ref="C72:C78">$B72^2/($B72^2+$B72*$B$3+$B$3*$D$3)</f>
        <v>2.511886033402444E-17</v>
      </c>
      <c r="D72" s="226">
        <f aca="true" t="shared" si="10" ref="D72:D78">$B72*$B$3/($B72^2+$B72*$B$3+$B$3*$D$3)</f>
        <v>1.5848929412725012E-07</v>
      </c>
      <c r="E72" s="226">
        <f aca="true" t="shared" si="11" ref="E72:E78">$B$3*$D$3/($B72^2+$B72*$B$3+$B$3*$D$3)</f>
        <v>0.9999998415107058</v>
      </c>
    </row>
    <row r="73" spans="1:5" ht="12.75">
      <c r="A73">
        <v>13</v>
      </c>
      <c r="B73">
        <f t="shared" si="8"/>
        <v>1E-13</v>
      </c>
      <c r="C73" s="225">
        <f t="shared" si="9"/>
        <v>9.9999990000001E-18</v>
      </c>
      <c r="D73" s="226">
        <f t="shared" si="10"/>
        <v>9.9999990000001E-08</v>
      </c>
      <c r="E73" s="226">
        <f t="shared" si="11"/>
        <v>0.9999999000000099</v>
      </c>
    </row>
    <row r="74" spans="1:5" ht="12.75">
      <c r="A74">
        <v>13.2</v>
      </c>
      <c r="B74">
        <f t="shared" si="8"/>
        <v>6.309573444801921E-14</v>
      </c>
      <c r="C74" s="225">
        <f t="shared" si="9"/>
        <v>3.981071454346331E-18</v>
      </c>
      <c r="D74" s="226">
        <f t="shared" si="10"/>
        <v>6.309573046694776E-08</v>
      </c>
      <c r="E74" s="226">
        <f t="shared" si="11"/>
        <v>0.9999999369042695</v>
      </c>
    </row>
    <row r="75" spans="1:5" ht="12.75">
      <c r="A75">
        <v>13.4</v>
      </c>
      <c r="B75">
        <f t="shared" si="8"/>
        <v>3.981071705534959E-14</v>
      </c>
      <c r="C75" s="225">
        <f t="shared" si="9"/>
        <v>1.5848931293653708E-18</v>
      </c>
      <c r="D75" s="226">
        <f t="shared" si="10"/>
        <v>3.9810715470456456E-08</v>
      </c>
      <c r="E75" s="226">
        <f t="shared" si="11"/>
        <v>0.9999999601892845</v>
      </c>
    </row>
    <row r="76" spans="1:5" ht="12.75">
      <c r="A76">
        <v>13.6</v>
      </c>
      <c r="B76">
        <f t="shared" si="8"/>
        <v>2.511886431509576E-14</v>
      </c>
      <c r="C76" s="225">
        <f t="shared" si="9"/>
        <v>6.309573286312596E-19</v>
      </c>
      <c r="D76" s="226">
        <f t="shared" si="10"/>
        <v>2.5118863684138427E-08</v>
      </c>
      <c r="E76" s="226">
        <f t="shared" si="11"/>
        <v>0.9999999748811362</v>
      </c>
    </row>
    <row r="77" spans="1:5" ht="12.75">
      <c r="A77">
        <v>13.8</v>
      </c>
      <c r="B77">
        <f t="shared" si="8"/>
        <v>1.5848931924611084E-14</v>
      </c>
      <c r="C77" s="225">
        <f t="shared" si="9"/>
        <v>2.5118863916988476E-19</v>
      </c>
      <c r="D77" s="226">
        <f t="shared" si="10"/>
        <v>1.5848931673422447E-08</v>
      </c>
      <c r="E77" s="226">
        <f t="shared" si="11"/>
        <v>0.9999999841510684</v>
      </c>
    </row>
    <row r="78" spans="1:5" ht="12.75">
      <c r="A78">
        <v>14</v>
      </c>
      <c r="B78">
        <f t="shared" si="8"/>
        <v>1E-14</v>
      </c>
      <c r="C78" s="225">
        <f t="shared" si="9"/>
        <v>9.9999999E-20</v>
      </c>
      <c r="D78" s="226">
        <f t="shared" si="10"/>
        <v>9.9999999E-09</v>
      </c>
      <c r="E78" s="226">
        <f t="shared" si="11"/>
        <v>0.9999999900000001</v>
      </c>
    </row>
  </sheetData>
  <mergeCells count="1">
    <mergeCell ref="C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C2" sqref="C2:D4"/>
    </sheetView>
  </sheetViews>
  <sheetFormatPr defaultColWidth="9.140625" defaultRowHeight="12.75"/>
  <sheetData>
    <row r="1" ht="12.75">
      <c r="A1" s="1" t="s">
        <v>89</v>
      </c>
    </row>
    <row r="2" spans="1:2" ht="15.75">
      <c r="A2" s="208" t="s">
        <v>3</v>
      </c>
      <c r="B2">
        <f>10^-14</f>
        <v>1E-14</v>
      </c>
    </row>
    <row r="3" spans="1:2" ht="15.75">
      <c r="A3" t="s">
        <v>76</v>
      </c>
      <c r="B3" s="235">
        <v>5</v>
      </c>
    </row>
    <row r="4" spans="1:2" ht="15.75">
      <c r="A4" s="208" t="s">
        <v>77</v>
      </c>
      <c r="B4" s="207">
        <f>10^-B3</f>
        <v>1E-05</v>
      </c>
    </row>
    <row r="6" spans="3:4" ht="39" customHeight="1">
      <c r="C6" s="271" t="s">
        <v>86</v>
      </c>
      <c r="D6" s="272"/>
    </row>
    <row r="7" spans="3:4" ht="15">
      <c r="C7" s="231" t="s">
        <v>82</v>
      </c>
      <c r="D7" s="234" t="s">
        <v>83</v>
      </c>
    </row>
    <row r="8" spans="1:4" ht="15">
      <c r="A8" s="1" t="s">
        <v>2</v>
      </c>
      <c r="B8" s="1" t="s">
        <v>62</v>
      </c>
      <c r="C8" s="236" t="s">
        <v>65</v>
      </c>
      <c r="D8" s="236" t="s">
        <v>66</v>
      </c>
    </row>
    <row r="9" spans="1:4" ht="12.75">
      <c r="A9">
        <v>0</v>
      </c>
      <c r="B9">
        <f aca="true" t="shared" si="0" ref="B9:B40">10^-A9</f>
        <v>1</v>
      </c>
      <c r="C9" s="225">
        <f>$B9/($B9+$B$4)</f>
        <v>0.9999900000999989</v>
      </c>
      <c r="D9" s="226">
        <f>$B$4/($B9+$B$4)</f>
        <v>9.99990000099999E-06</v>
      </c>
    </row>
    <row r="10" spans="1:4" ht="12.75">
      <c r="A10">
        <v>0.2</v>
      </c>
      <c r="B10">
        <f t="shared" si="0"/>
        <v>0.6309573444801932</v>
      </c>
      <c r="C10" s="225">
        <f aca="true" t="shared" si="1" ref="C10:C73">$B10/($B10+$B$4)</f>
        <v>0.9999841513192601</v>
      </c>
      <c r="D10" s="226">
        <f aca="true" t="shared" si="2" ref="D10:D73">$B$4/($B10+$B$4)</f>
        <v>1.5848680739948994E-05</v>
      </c>
    </row>
    <row r="11" spans="1:4" ht="12.75">
      <c r="A11">
        <v>0.4</v>
      </c>
      <c r="B11">
        <f t="shared" si="0"/>
        <v>0.3981071705534972</v>
      </c>
      <c r="C11" s="225">
        <f t="shared" si="1"/>
        <v>0.9999748817666264</v>
      </c>
      <c r="D11" s="226">
        <f t="shared" si="2"/>
        <v>2.511823337359986E-05</v>
      </c>
    </row>
    <row r="12" spans="1:4" ht="12.75">
      <c r="A12">
        <v>0.6</v>
      </c>
      <c r="B12">
        <f t="shared" si="0"/>
        <v>0.251188643150958</v>
      </c>
      <c r="C12" s="225">
        <f t="shared" si="1"/>
        <v>0.9999601908677747</v>
      </c>
      <c r="D12" s="226">
        <f t="shared" si="2"/>
        <v>3.980913222525049E-05</v>
      </c>
    </row>
    <row r="13" spans="1:4" ht="12.75">
      <c r="A13">
        <v>0.8</v>
      </c>
      <c r="B13">
        <f t="shared" si="0"/>
        <v>0.15848931924611132</v>
      </c>
      <c r="C13" s="225">
        <f t="shared" si="1"/>
        <v>0.9999369082463725</v>
      </c>
      <c r="D13" s="226">
        <f t="shared" si="2"/>
        <v>6.30917536274866E-05</v>
      </c>
    </row>
    <row r="14" spans="1:4" ht="12.75">
      <c r="A14">
        <v>1</v>
      </c>
      <c r="B14">
        <f t="shared" si="0"/>
        <v>0.1</v>
      </c>
      <c r="C14" s="225">
        <f t="shared" si="1"/>
        <v>0.9999000099990001</v>
      </c>
      <c r="D14" s="226">
        <f t="shared" si="2"/>
        <v>9.999000099990002E-05</v>
      </c>
    </row>
    <row r="15" spans="1:4" ht="12.75">
      <c r="A15">
        <v>1.2</v>
      </c>
      <c r="B15">
        <f t="shared" si="0"/>
        <v>0.06309573444801932</v>
      </c>
      <c r="C15" s="225">
        <f t="shared" si="1"/>
        <v>0.9998415357956378</v>
      </c>
      <c r="D15" s="226">
        <f t="shared" si="2"/>
        <v>0.00015846420436223715</v>
      </c>
    </row>
    <row r="16" spans="1:4" ht="12.75">
      <c r="A16">
        <v>1.4</v>
      </c>
      <c r="B16">
        <f t="shared" si="0"/>
        <v>0.03981071705534973</v>
      </c>
      <c r="C16" s="225">
        <f t="shared" si="1"/>
        <v>0.9997488744367384</v>
      </c>
      <c r="D16" s="226">
        <f t="shared" si="2"/>
        <v>0.0002511255632614618</v>
      </c>
    </row>
    <row r="17" spans="1:4" ht="12.75">
      <c r="A17">
        <v>1.6</v>
      </c>
      <c r="B17">
        <f t="shared" si="0"/>
        <v>0.02511886431509578</v>
      </c>
      <c r="C17" s="225">
        <f t="shared" si="1"/>
        <v>0.9996020512556951</v>
      </c>
      <c r="D17" s="226">
        <f t="shared" si="2"/>
        <v>0.0003979487443048771</v>
      </c>
    </row>
    <row r="18" spans="1:4" ht="12.75">
      <c r="A18">
        <v>1.8</v>
      </c>
      <c r="B18">
        <f t="shared" si="0"/>
        <v>0.015848931924611124</v>
      </c>
      <c r="C18" s="225">
        <f t="shared" si="1"/>
        <v>0.9993694405116601</v>
      </c>
      <c r="D18" s="226">
        <f t="shared" si="2"/>
        <v>0.0006305594883398941</v>
      </c>
    </row>
    <row r="19" spans="1:4" ht="12.75">
      <c r="A19">
        <v>2</v>
      </c>
      <c r="B19">
        <f t="shared" si="0"/>
        <v>0.01</v>
      </c>
      <c r="C19" s="225">
        <f t="shared" si="1"/>
        <v>0.999000999000999</v>
      </c>
      <c r="D19" s="226">
        <f t="shared" si="2"/>
        <v>0.000999000999000999</v>
      </c>
    </row>
    <row r="20" spans="1:4" ht="12.75">
      <c r="A20">
        <v>2.2</v>
      </c>
      <c r="B20">
        <f t="shared" si="0"/>
        <v>0.006309573444801925</v>
      </c>
      <c r="C20" s="225">
        <f t="shared" si="1"/>
        <v>0.9984176147191983</v>
      </c>
      <c r="D20" s="226">
        <f t="shared" si="2"/>
        <v>0.0015823852808017223</v>
      </c>
    </row>
    <row r="21" spans="1:4" ht="12.75">
      <c r="A21">
        <v>2.4</v>
      </c>
      <c r="B21">
        <f t="shared" si="0"/>
        <v>0.003981071705534972</v>
      </c>
      <c r="C21" s="225">
        <f t="shared" si="1"/>
        <v>0.9974944073327143</v>
      </c>
      <c r="D21" s="226">
        <f t="shared" si="2"/>
        <v>0.0025055926672857363</v>
      </c>
    </row>
    <row r="22" spans="1:4" ht="12.75">
      <c r="A22">
        <v>2.6</v>
      </c>
      <c r="B22">
        <f t="shared" si="0"/>
        <v>0.0025118864315095777</v>
      </c>
      <c r="C22" s="225">
        <f t="shared" si="1"/>
        <v>0.9960347143808478</v>
      </c>
      <c r="D22" s="226">
        <f t="shared" si="2"/>
        <v>0.003965285619152205</v>
      </c>
    </row>
    <row r="23" spans="1:4" ht="12.75">
      <c r="A23">
        <v>2.8</v>
      </c>
      <c r="B23">
        <f t="shared" si="0"/>
        <v>0.0015848931924611134</v>
      </c>
      <c r="C23" s="225">
        <f t="shared" si="1"/>
        <v>0.9937299876585661</v>
      </c>
      <c r="D23" s="226">
        <f t="shared" si="2"/>
        <v>0.006270012341433841</v>
      </c>
    </row>
    <row r="24" spans="1:4" ht="12.75">
      <c r="A24">
        <v>3</v>
      </c>
      <c r="B24">
        <f t="shared" si="0"/>
        <v>0.001</v>
      </c>
      <c r="C24" s="225">
        <f t="shared" si="1"/>
        <v>0.9900990099009901</v>
      </c>
      <c r="D24" s="226">
        <f t="shared" si="2"/>
        <v>0.009900990099009901</v>
      </c>
    </row>
    <row r="25" spans="1:4" ht="12.75">
      <c r="A25">
        <v>3.2</v>
      </c>
      <c r="B25">
        <f t="shared" si="0"/>
        <v>0.0006309573444801924</v>
      </c>
      <c r="C25" s="225">
        <f t="shared" si="1"/>
        <v>0.9843983377581703</v>
      </c>
      <c r="D25" s="226">
        <f t="shared" si="2"/>
        <v>0.015601662241829621</v>
      </c>
    </row>
    <row r="26" spans="1:4" ht="12.75">
      <c r="A26">
        <v>3.4</v>
      </c>
      <c r="B26">
        <f t="shared" si="0"/>
        <v>0.0003981071705534971</v>
      </c>
      <c r="C26" s="225">
        <f t="shared" si="1"/>
        <v>0.9754966324496639</v>
      </c>
      <c r="D26" s="226">
        <f t="shared" si="2"/>
        <v>0.024503367550336</v>
      </c>
    </row>
    <row r="27" spans="1:4" ht="12.75">
      <c r="A27">
        <v>3.6</v>
      </c>
      <c r="B27">
        <f t="shared" si="0"/>
        <v>0.00025118864315095774</v>
      </c>
      <c r="C27" s="225">
        <f t="shared" si="1"/>
        <v>0.9617134961177451</v>
      </c>
      <c r="D27" s="226">
        <f t="shared" si="2"/>
        <v>0.038286503882254776</v>
      </c>
    </row>
    <row r="28" spans="1:4" ht="12.75">
      <c r="A28">
        <v>3.8</v>
      </c>
      <c r="B28">
        <f t="shared" si="0"/>
        <v>0.0001584893192461112</v>
      </c>
      <c r="C28" s="225">
        <f t="shared" si="1"/>
        <v>0.9406490568972323</v>
      </c>
      <c r="D28" s="226">
        <f t="shared" si="2"/>
        <v>0.05935094310276765</v>
      </c>
    </row>
    <row r="29" spans="1:4" ht="12.75">
      <c r="A29">
        <v>4</v>
      </c>
      <c r="B29">
        <f t="shared" si="0"/>
        <v>0.0001</v>
      </c>
      <c r="C29" s="225">
        <f t="shared" si="1"/>
        <v>0.9090909090909091</v>
      </c>
      <c r="D29" s="226">
        <f t="shared" si="2"/>
        <v>0.09090909090909091</v>
      </c>
    </row>
    <row r="30" spans="1:4" ht="12.75">
      <c r="A30">
        <v>4.2</v>
      </c>
      <c r="B30">
        <f t="shared" si="0"/>
        <v>6.309573444801928E-05</v>
      </c>
      <c r="C30" s="225">
        <f t="shared" si="1"/>
        <v>0.8631931113967899</v>
      </c>
      <c r="D30" s="226">
        <f t="shared" si="2"/>
        <v>0.1368068886032101</v>
      </c>
    </row>
    <row r="31" spans="1:4" ht="12.75">
      <c r="A31">
        <v>4.4</v>
      </c>
      <c r="B31">
        <f t="shared" si="0"/>
        <v>3.9810717055349634E-05</v>
      </c>
      <c r="C31" s="225">
        <f t="shared" si="1"/>
        <v>0.7992399910868979</v>
      </c>
      <c r="D31" s="226">
        <f t="shared" si="2"/>
        <v>0.20076000891310214</v>
      </c>
    </row>
    <row r="32" spans="1:4" ht="12.75">
      <c r="A32">
        <v>4.6</v>
      </c>
      <c r="B32">
        <f t="shared" si="0"/>
        <v>2.511886431509579E-05</v>
      </c>
      <c r="C32" s="225">
        <f t="shared" si="1"/>
        <v>0.7152527510491985</v>
      </c>
      <c r="D32" s="226">
        <f t="shared" si="2"/>
        <v>0.2847472489508015</v>
      </c>
    </row>
    <row r="33" spans="1:4" ht="12.75">
      <c r="A33">
        <v>4.8</v>
      </c>
      <c r="B33">
        <f t="shared" si="0"/>
        <v>1.584893192461113E-05</v>
      </c>
      <c r="C33" s="225">
        <f t="shared" si="1"/>
        <v>0.613136820153143</v>
      </c>
      <c r="D33" s="226">
        <f t="shared" si="2"/>
        <v>0.3868631798468571</v>
      </c>
    </row>
    <row r="34" spans="1:4" ht="12.75">
      <c r="A34">
        <v>5</v>
      </c>
      <c r="B34">
        <f t="shared" si="0"/>
        <v>1E-05</v>
      </c>
      <c r="C34" s="225">
        <f t="shared" si="1"/>
        <v>0.5</v>
      </c>
      <c r="D34" s="226">
        <f t="shared" si="2"/>
        <v>0.5</v>
      </c>
    </row>
    <row r="35" spans="1:4" ht="12.75">
      <c r="A35">
        <v>5.2</v>
      </c>
      <c r="B35">
        <f t="shared" si="0"/>
        <v>6.309573444801921E-06</v>
      </c>
      <c r="C35" s="225">
        <f t="shared" si="1"/>
        <v>0.3868631798468566</v>
      </c>
      <c r="D35" s="226">
        <f t="shared" si="2"/>
        <v>0.6131368201531435</v>
      </c>
    </row>
    <row r="36" spans="1:4" ht="12.75">
      <c r="A36">
        <v>5.4</v>
      </c>
      <c r="B36">
        <f t="shared" si="0"/>
        <v>3.981071705534966E-06</v>
      </c>
      <c r="C36" s="225">
        <f t="shared" si="1"/>
        <v>0.28474724895080106</v>
      </c>
      <c r="D36" s="226">
        <f t="shared" si="2"/>
        <v>0.7152527510491989</v>
      </c>
    </row>
    <row r="37" spans="1:4" ht="12.75">
      <c r="A37">
        <v>5.6</v>
      </c>
      <c r="B37">
        <f t="shared" si="0"/>
        <v>2.5118864315095806E-06</v>
      </c>
      <c r="C37" s="225">
        <f t="shared" si="1"/>
        <v>0.20076000891310178</v>
      </c>
      <c r="D37" s="226">
        <f t="shared" si="2"/>
        <v>0.7992399910868982</v>
      </c>
    </row>
    <row r="38" spans="1:4" ht="12.75">
      <c r="A38">
        <v>5.8</v>
      </c>
      <c r="B38">
        <f t="shared" si="0"/>
        <v>1.5848931924611111E-06</v>
      </c>
      <c r="C38" s="225">
        <f t="shared" si="1"/>
        <v>0.1368068886032098</v>
      </c>
      <c r="D38" s="226">
        <f t="shared" si="2"/>
        <v>0.8631931113967901</v>
      </c>
    </row>
    <row r="39" spans="1:4" ht="12.75">
      <c r="A39">
        <v>6</v>
      </c>
      <c r="B39">
        <f t="shared" si="0"/>
        <v>1E-06</v>
      </c>
      <c r="C39" s="225">
        <f t="shared" si="1"/>
        <v>0.0909090909090909</v>
      </c>
      <c r="D39" s="226">
        <f t="shared" si="2"/>
        <v>0.9090909090909091</v>
      </c>
    </row>
    <row r="40" spans="1:4" ht="12.75">
      <c r="A40">
        <v>6.2</v>
      </c>
      <c r="B40">
        <f t="shared" si="0"/>
        <v>6.309573444801925E-07</v>
      </c>
      <c r="C40" s="225">
        <f t="shared" si="1"/>
        <v>0.059350943102767534</v>
      </c>
      <c r="D40" s="226">
        <f t="shared" si="2"/>
        <v>0.9406490568972325</v>
      </c>
    </row>
    <row r="41" spans="1:4" ht="12.75">
      <c r="A41">
        <v>6.4</v>
      </c>
      <c r="B41">
        <f aca="true" t="shared" si="3" ref="B41:B72">10^-A41</f>
        <v>3.981071705534962E-07</v>
      </c>
      <c r="C41" s="225">
        <f t="shared" si="1"/>
        <v>0.03828650388225464</v>
      </c>
      <c r="D41" s="226">
        <f t="shared" si="2"/>
        <v>0.9617134961177455</v>
      </c>
    </row>
    <row r="42" spans="1:4" ht="12.75">
      <c r="A42">
        <v>6.6</v>
      </c>
      <c r="B42">
        <f t="shared" si="3"/>
        <v>2.511886431509578E-07</v>
      </c>
      <c r="C42" s="225">
        <f t="shared" si="1"/>
        <v>0.02450336755033597</v>
      </c>
      <c r="D42" s="226">
        <f t="shared" si="2"/>
        <v>0.9754966324496641</v>
      </c>
    </row>
    <row r="43" spans="1:4" ht="12.75">
      <c r="A43">
        <v>6.8</v>
      </c>
      <c r="B43">
        <f t="shared" si="3"/>
        <v>1.5848931924611122E-07</v>
      </c>
      <c r="C43" s="225">
        <f t="shared" si="1"/>
        <v>0.015601662241829588</v>
      </c>
      <c r="D43" s="226">
        <f t="shared" si="2"/>
        <v>0.9843983377581704</v>
      </c>
    </row>
    <row r="44" spans="1:4" ht="12.75">
      <c r="A44">
        <v>7</v>
      </c>
      <c r="B44">
        <f t="shared" si="3"/>
        <v>1E-07</v>
      </c>
      <c r="C44" s="225">
        <f t="shared" si="1"/>
        <v>0.0099009900990099</v>
      </c>
      <c r="D44" s="226">
        <f t="shared" si="2"/>
        <v>0.99009900990099</v>
      </c>
    </row>
    <row r="45" spans="1:4" ht="12.75">
      <c r="A45">
        <v>7.2</v>
      </c>
      <c r="B45">
        <f t="shared" si="3"/>
        <v>6.309573444801918E-08</v>
      </c>
      <c r="C45" s="225">
        <f t="shared" si="1"/>
        <v>0.006270012341433826</v>
      </c>
      <c r="D45" s="226">
        <f t="shared" si="2"/>
        <v>0.9937299876585662</v>
      </c>
    </row>
    <row r="46" spans="1:4" ht="12.75">
      <c r="A46">
        <v>7.4</v>
      </c>
      <c r="B46">
        <f t="shared" si="3"/>
        <v>3.981071705534957E-08</v>
      </c>
      <c r="C46" s="225">
        <f t="shared" si="1"/>
        <v>0.003965285619152185</v>
      </c>
      <c r="D46" s="226">
        <f t="shared" si="2"/>
        <v>0.9960347143808478</v>
      </c>
    </row>
    <row r="47" spans="1:4" ht="12.75">
      <c r="A47">
        <v>7.6</v>
      </c>
      <c r="B47">
        <f t="shared" si="3"/>
        <v>2.511886431509575E-08</v>
      </c>
      <c r="C47" s="225">
        <f t="shared" si="1"/>
        <v>0.0025055926672857298</v>
      </c>
      <c r="D47" s="226">
        <f t="shared" si="2"/>
        <v>0.9974944073327142</v>
      </c>
    </row>
    <row r="48" spans="1:4" ht="12.75">
      <c r="A48">
        <v>7.8</v>
      </c>
      <c r="B48">
        <f t="shared" si="3"/>
        <v>1.5848931924611133E-08</v>
      </c>
      <c r="C48" s="225">
        <f t="shared" si="1"/>
        <v>0.00158238528080172</v>
      </c>
      <c r="D48" s="226">
        <f t="shared" si="2"/>
        <v>0.9984176147191983</v>
      </c>
    </row>
    <row r="49" spans="1:4" ht="12.75">
      <c r="A49">
        <v>8</v>
      </c>
      <c r="B49">
        <f t="shared" si="3"/>
        <v>1E-08</v>
      </c>
      <c r="C49" s="225">
        <f t="shared" si="1"/>
        <v>0.000999000999000999</v>
      </c>
      <c r="D49" s="226">
        <f t="shared" si="2"/>
        <v>0.999000999000999</v>
      </c>
    </row>
    <row r="50" spans="1:4" ht="12.75">
      <c r="A50">
        <v>8.2</v>
      </c>
      <c r="B50">
        <f t="shared" si="3"/>
        <v>6.309573444801933E-09</v>
      </c>
      <c r="C50" s="225">
        <f t="shared" si="1"/>
        <v>0.0006305594883398935</v>
      </c>
      <c r="D50" s="226">
        <f t="shared" si="2"/>
        <v>0.9993694405116601</v>
      </c>
    </row>
    <row r="51" spans="1:4" ht="12.75">
      <c r="A51">
        <v>8.4</v>
      </c>
      <c r="B51">
        <f t="shared" si="3"/>
        <v>3.9810717055349665E-09</v>
      </c>
      <c r="C51" s="225">
        <f t="shared" si="1"/>
        <v>0.00039794874430487605</v>
      </c>
      <c r="D51" s="226">
        <f t="shared" si="2"/>
        <v>0.9996020512556951</v>
      </c>
    </row>
    <row r="52" spans="1:4" ht="12.75">
      <c r="A52">
        <v>8.6</v>
      </c>
      <c r="B52">
        <f t="shared" si="3"/>
        <v>2.511886431509581E-09</v>
      </c>
      <c r="C52" s="225">
        <f t="shared" si="1"/>
        <v>0.00025112556326146193</v>
      </c>
      <c r="D52" s="226">
        <f t="shared" si="2"/>
        <v>0.9997488744367385</v>
      </c>
    </row>
    <row r="53" spans="1:4" ht="12.75">
      <c r="A53">
        <v>8.8</v>
      </c>
      <c r="B53">
        <f t="shared" si="3"/>
        <v>1.584893192461106E-09</v>
      </c>
      <c r="C53" s="225">
        <f t="shared" si="1"/>
        <v>0.00015846420436223634</v>
      </c>
      <c r="D53" s="226">
        <f t="shared" si="2"/>
        <v>0.9998415357956377</v>
      </c>
    </row>
    <row r="54" spans="1:4" ht="12.75">
      <c r="A54">
        <v>9</v>
      </c>
      <c r="B54">
        <f t="shared" si="3"/>
        <v>1E-09</v>
      </c>
      <c r="C54" s="225">
        <f t="shared" si="1"/>
        <v>9.99900009999E-05</v>
      </c>
      <c r="D54" s="226">
        <f t="shared" si="2"/>
        <v>0.9999000099990001</v>
      </c>
    </row>
    <row r="55" spans="1:4" ht="12.75">
      <c r="A55">
        <v>9.2</v>
      </c>
      <c r="B55">
        <f t="shared" si="3"/>
        <v>6.309573444801927E-10</v>
      </c>
      <c r="C55" s="225">
        <f t="shared" si="1"/>
        <v>6.309175362748652E-05</v>
      </c>
      <c r="D55" s="226">
        <f t="shared" si="2"/>
        <v>0.9999369082463725</v>
      </c>
    </row>
    <row r="56" spans="1:4" ht="12.75">
      <c r="A56">
        <v>9.4</v>
      </c>
      <c r="B56">
        <f t="shared" si="3"/>
        <v>3.981071705534962E-10</v>
      </c>
      <c r="C56" s="225">
        <f t="shared" si="1"/>
        <v>3.980913222525038E-05</v>
      </c>
      <c r="D56" s="226">
        <f t="shared" si="2"/>
        <v>0.9999601908677749</v>
      </c>
    </row>
    <row r="57" spans="1:4" ht="12.75">
      <c r="A57">
        <v>9.6</v>
      </c>
      <c r="B57">
        <f t="shared" si="3"/>
        <v>2.5118864315095784E-10</v>
      </c>
      <c r="C57" s="225">
        <f t="shared" si="1"/>
        <v>2.5118233373599832E-05</v>
      </c>
      <c r="D57" s="226">
        <f t="shared" si="2"/>
        <v>0.9999748817666263</v>
      </c>
    </row>
    <row r="58" spans="1:4" ht="12.75">
      <c r="A58">
        <v>9.8</v>
      </c>
      <c r="B58">
        <f t="shared" si="3"/>
        <v>1.5848931924611098E-10</v>
      </c>
      <c r="C58" s="225">
        <f t="shared" si="1"/>
        <v>1.5848680739948953E-05</v>
      </c>
      <c r="D58" s="226">
        <f t="shared" si="2"/>
        <v>0.99998415131926</v>
      </c>
    </row>
    <row r="59" spans="1:4" ht="12.75">
      <c r="A59">
        <v>10</v>
      </c>
      <c r="B59">
        <f t="shared" si="3"/>
        <v>1E-10</v>
      </c>
      <c r="C59" s="225">
        <f t="shared" si="1"/>
        <v>9.999900000999989E-06</v>
      </c>
      <c r="D59" s="226">
        <f t="shared" si="2"/>
        <v>0.9999900000999989</v>
      </c>
    </row>
    <row r="60" spans="1:4" ht="12.75">
      <c r="A60">
        <v>10.2</v>
      </c>
      <c r="B60">
        <f t="shared" si="3"/>
        <v>6.309573444801919E-11</v>
      </c>
      <c r="C60" s="225">
        <f t="shared" si="1"/>
        <v>6.30953363433605E-06</v>
      </c>
      <c r="D60" s="226">
        <f t="shared" si="2"/>
        <v>0.9999936904663657</v>
      </c>
    </row>
    <row r="61" spans="1:4" ht="12.75">
      <c r="A61">
        <v>10.4</v>
      </c>
      <c r="B61">
        <f t="shared" si="3"/>
        <v>3.981071705534958E-11</v>
      </c>
      <c r="C61" s="225">
        <f t="shared" si="1"/>
        <v>3.9810558566661286E-06</v>
      </c>
      <c r="D61" s="226">
        <f t="shared" si="2"/>
        <v>0.9999960189441434</v>
      </c>
    </row>
    <row r="62" spans="1:4" ht="12.75">
      <c r="A62">
        <v>10.6</v>
      </c>
      <c r="B62">
        <f t="shared" si="3"/>
        <v>2.511886431509576E-11</v>
      </c>
      <c r="C62" s="225">
        <f t="shared" si="1"/>
        <v>2.5118801219519797E-06</v>
      </c>
      <c r="D62" s="226">
        <f t="shared" si="2"/>
        <v>0.9999974881198781</v>
      </c>
    </row>
    <row r="63" spans="1:4" ht="12.75">
      <c r="A63">
        <v>10.8</v>
      </c>
      <c r="B63">
        <f t="shared" si="3"/>
        <v>1.5848931924611082E-11</v>
      </c>
      <c r="C63" s="225">
        <f t="shared" si="1"/>
        <v>1.5848906805786575E-06</v>
      </c>
      <c r="D63" s="226">
        <f t="shared" si="2"/>
        <v>0.9999984151093194</v>
      </c>
    </row>
    <row r="64" spans="1:4" ht="12.75">
      <c r="A64">
        <v>11</v>
      </c>
      <c r="B64">
        <f t="shared" si="3"/>
        <v>1E-11</v>
      </c>
      <c r="C64" s="225">
        <f t="shared" si="1"/>
        <v>9.999990000009998E-07</v>
      </c>
      <c r="D64" s="226">
        <f t="shared" si="2"/>
        <v>0.999999000001</v>
      </c>
    </row>
    <row r="65" spans="1:4" ht="12.75">
      <c r="A65">
        <v>11.2</v>
      </c>
      <c r="B65">
        <f t="shared" si="3"/>
        <v>6.3095734448019345E-12</v>
      </c>
      <c r="C65" s="225">
        <f t="shared" si="1"/>
        <v>6.30956946373274E-07</v>
      </c>
      <c r="D65" s="226">
        <f t="shared" si="2"/>
        <v>0.9999993690430535</v>
      </c>
    </row>
    <row r="66" spans="1:4" ht="12.75">
      <c r="A66">
        <v>11.4</v>
      </c>
      <c r="B66">
        <f t="shared" si="3"/>
        <v>3.981071705534953E-12</v>
      </c>
      <c r="C66" s="225">
        <f t="shared" si="1"/>
        <v>3.981070120642391E-07</v>
      </c>
      <c r="D66" s="226">
        <f t="shared" si="2"/>
        <v>0.9999996018929879</v>
      </c>
    </row>
    <row r="67" spans="1:4" ht="12.75">
      <c r="A67">
        <v>11.6</v>
      </c>
      <c r="B67">
        <f t="shared" si="3"/>
        <v>2.5118864315095726E-12</v>
      </c>
      <c r="C67" s="225">
        <f t="shared" si="1"/>
        <v>2.511885800552386E-07</v>
      </c>
      <c r="D67" s="226">
        <f t="shared" si="2"/>
        <v>0.9999997488114198</v>
      </c>
    </row>
    <row r="68" spans="1:4" ht="12.75">
      <c r="A68">
        <v>11.8</v>
      </c>
      <c r="B68">
        <f t="shared" si="3"/>
        <v>1.5848931924611065E-12</v>
      </c>
      <c r="C68" s="225">
        <f t="shared" si="1"/>
        <v>1.584892941272503E-07</v>
      </c>
      <c r="D68" s="226">
        <f t="shared" si="2"/>
        <v>0.999999841510706</v>
      </c>
    </row>
    <row r="69" spans="1:4" ht="12.75">
      <c r="A69">
        <v>12</v>
      </c>
      <c r="B69">
        <f t="shared" si="3"/>
        <v>1E-12</v>
      </c>
      <c r="C69" s="225">
        <f t="shared" si="1"/>
        <v>9.999999000000099E-08</v>
      </c>
      <c r="D69" s="226">
        <f t="shared" si="2"/>
        <v>0.99999990000001</v>
      </c>
    </row>
    <row r="70" spans="1:4" ht="12.75">
      <c r="A70">
        <v>12.2</v>
      </c>
      <c r="B70">
        <f t="shared" si="3"/>
        <v>6.309573444801928E-13</v>
      </c>
      <c r="C70" s="225">
        <f t="shared" si="1"/>
        <v>6.309573046694782E-08</v>
      </c>
      <c r="D70" s="226">
        <f t="shared" si="2"/>
        <v>0.9999999369042696</v>
      </c>
    </row>
    <row r="71" spans="1:4" ht="12.75">
      <c r="A71">
        <v>12.4</v>
      </c>
      <c r="B71">
        <f t="shared" si="3"/>
        <v>3.981071705534963E-13</v>
      </c>
      <c r="C71" s="225">
        <f t="shared" si="1"/>
        <v>3.9810715470456495E-08</v>
      </c>
      <c r="D71" s="226">
        <f t="shared" si="2"/>
        <v>0.9999999601892845</v>
      </c>
    </row>
    <row r="72" spans="1:4" ht="12.75">
      <c r="A72">
        <v>12.6</v>
      </c>
      <c r="B72">
        <f t="shared" si="3"/>
        <v>2.511886431509579E-13</v>
      </c>
      <c r="C72" s="225">
        <f t="shared" si="1"/>
        <v>2.5118863684138457E-08</v>
      </c>
      <c r="D72" s="226">
        <f t="shared" si="2"/>
        <v>0.9999999748811362</v>
      </c>
    </row>
    <row r="73" spans="1:4" ht="12.75">
      <c r="A73">
        <v>12.8</v>
      </c>
      <c r="B73">
        <f aca="true" t="shared" si="4" ref="B73:B79">10^-A73</f>
        <v>1.5848931924611046E-13</v>
      </c>
      <c r="C73" s="225">
        <f t="shared" si="1"/>
        <v>1.5848931673422407E-08</v>
      </c>
      <c r="D73" s="226">
        <f t="shared" si="2"/>
        <v>0.9999999841510684</v>
      </c>
    </row>
    <row r="74" spans="1:4" ht="12.75">
      <c r="A74">
        <v>13</v>
      </c>
      <c r="B74">
        <f t="shared" si="4"/>
        <v>1E-13</v>
      </c>
      <c r="C74" s="225">
        <f aca="true" t="shared" si="5" ref="C74:C79">$B74/($B74+$B$4)</f>
        <v>9.9999999E-09</v>
      </c>
      <c r="D74" s="226">
        <f aca="true" t="shared" si="6" ref="D74:D79">$B$4/($B74+$B$4)</f>
        <v>0.9999999900000001</v>
      </c>
    </row>
    <row r="75" spans="1:4" ht="12.75">
      <c r="A75">
        <v>13.2</v>
      </c>
      <c r="B75">
        <f t="shared" si="4"/>
        <v>6.309573444801921E-14</v>
      </c>
      <c r="C75" s="225">
        <f t="shared" si="5"/>
        <v>6.309573404991204E-09</v>
      </c>
      <c r="D75" s="226">
        <f t="shared" si="6"/>
        <v>0.9999999936904266</v>
      </c>
    </row>
    <row r="76" spans="1:4" ht="12.75">
      <c r="A76">
        <v>13.4</v>
      </c>
      <c r="B76">
        <f t="shared" si="4"/>
        <v>3.981071705534959E-14</v>
      </c>
      <c r="C76" s="225">
        <f t="shared" si="5"/>
        <v>3.981071689686027E-09</v>
      </c>
      <c r="D76" s="226">
        <f t="shared" si="6"/>
        <v>0.9999999960189284</v>
      </c>
    </row>
    <row r="77" spans="1:4" ht="12.75">
      <c r="A77">
        <v>13.6</v>
      </c>
      <c r="B77">
        <f t="shared" si="4"/>
        <v>2.511886431509576E-14</v>
      </c>
      <c r="C77" s="225">
        <f t="shared" si="5"/>
        <v>2.5118864252000025E-09</v>
      </c>
      <c r="D77" s="226">
        <f t="shared" si="6"/>
        <v>0.9999999974881136</v>
      </c>
    </row>
    <row r="78" spans="1:4" ht="12.75">
      <c r="A78">
        <v>13.8</v>
      </c>
      <c r="B78">
        <f t="shared" si="4"/>
        <v>1.5848931924611084E-14</v>
      </c>
      <c r="C78" s="225">
        <f t="shared" si="5"/>
        <v>1.584893189949222E-09</v>
      </c>
      <c r="D78" s="226">
        <f t="shared" si="6"/>
        <v>0.9999999984151068</v>
      </c>
    </row>
    <row r="79" spans="1:4" ht="12.75">
      <c r="A79">
        <v>14</v>
      </c>
      <c r="B79">
        <f t="shared" si="4"/>
        <v>1E-14</v>
      </c>
      <c r="C79" s="225">
        <f t="shared" si="5"/>
        <v>9.99999999E-10</v>
      </c>
      <c r="D79" s="226">
        <f t="shared" si="6"/>
        <v>0.999999999</v>
      </c>
    </row>
  </sheetData>
  <mergeCells count="1"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Mussini</cp:lastModifiedBy>
  <cp:lastPrinted>2009-09-23T06:58:59Z</cp:lastPrinted>
  <dcterms:created xsi:type="dcterms:W3CDTF">2009-09-02T15:12:29Z</dcterms:created>
  <dcterms:modified xsi:type="dcterms:W3CDTF">2018-05-12T07:43:23Z</dcterms:modified>
  <cp:category/>
  <cp:version/>
  <cp:contentType/>
  <cp:contentStatus/>
</cp:coreProperties>
</file>