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Dati tecnici" sheetId="1" r:id="rId1"/>
    <sheet name="Bilancio compilato" sheetId="2" r:id="rId2"/>
    <sheet name="Indici" sheetId="3" r:id="rId3"/>
    <sheet name="Bilancio riclassificato VPVA" sheetId="4" r:id="rId4"/>
    <sheet name="Costo produzione latte" sheetId="5" r:id="rId5"/>
    <sheet name="Break even" sheetId="6" r:id="rId6"/>
    <sheet name="Schema bilancio" sheetId="7" r:id="rId7"/>
    <sheet name="Budget" sheetId="8" r:id="rId8"/>
  </sheets>
  <definedNames>
    <definedName name="_xlnm.Print_Area" localSheetId="1">'Bilancio compilato'!$A$1:$E$60</definedName>
    <definedName name="_xlnm.Print_Area" localSheetId="3">'Bilancio riclassificato VPVA'!$B$159:$H$187</definedName>
    <definedName name="_xlnm.Print_Area" localSheetId="5">'Break even'!$A$1:$H$35</definedName>
    <definedName name="_xlnm.Print_Area" localSheetId="7">'Budget'!$A$1:$D$47</definedName>
    <definedName name="_xlnm.Print_Area" localSheetId="4">'Costo produzione latte'!$A$1:$F$90</definedName>
    <definedName name="_xlnm.Print_Area" localSheetId="0">'Dati tecnici'!$A$1:$G$19</definedName>
    <definedName name="_xlnm.Print_Area" localSheetId="2">'Indici'!$A$1:$D$46</definedName>
    <definedName name="_xlnm.Print_Area" localSheetId="6">'Schema bilancio'!$A$1:$E$55</definedName>
  </definedNames>
  <calcPr fullCalcOnLoad="1"/>
</workbook>
</file>

<file path=xl/sharedStrings.xml><?xml version="1.0" encoding="utf-8"?>
<sst xmlns="http://schemas.openxmlformats.org/spreadsheetml/2006/main" count="697" uniqueCount="427">
  <si>
    <t>RICAVI</t>
  </si>
  <si>
    <t>Tonnellate</t>
  </si>
  <si>
    <t>Tonn. Latte equivalente</t>
  </si>
  <si>
    <t>%</t>
  </si>
  <si>
    <t>Latte venduto</t>
  </si>
  <si>
    <t>Carne (ULS)</t>
  </si>
  <si>
    <t>Indennità PAC</t>
  </si>
  <si>
    <t xml:space="preserve">   TOTALE RICAVI</t>
  </si>
  <si>
    <t>Fonte: Nostre elaborazioni su dati RICA-INEA</t>
  </si>
  <si>
    <t>Totali (000 lire)</t>
  </si>
  <si>
    <t xml:space="preserve">          RICAVI TOTALI</t>
  </si>
  <si>
    <t>Costi fissi</t>
  </si>
  <si>
    <t>Costi variabili</t>
  </si>
  <si>
    <t>Costi monetari espliciti</t>
  </si>
  <si>
    <t>Costi impliciti calcolati</t>
  </si>
  <si>
    <t xml:space="preserve">          REDDITO NETTO</t>
  </si>
  <si>
    <t xml:space="preserve">          REDDITO LAVORO FAMILIARE</t>
  </si>
  <si>
    <t xml:space="preserve">          UTILE LORDO</t>
  </si>
  <si>
    <t>COSTI</t>
  </si>
  <si>
    <t xml:space="preserve">     Mangimi acquistati</t>
  </si>
  <si>
    <t xml:space="preserve">     Foraggi e lettimi acquistati</t>
  </si>
  <si>
    <t xml:space="preserve">         ALIMENTI ACQUISTATI</t>
  </si>
  <si>
    <t>Sementi</t>
  </si>
  <si>
    <t>Fertilizzanti</t>
  </si>
  <si>
    <t>Antiparassitari</t>
  </si>
  <si>
    <t>Noleggi passivi</t>
  </si>
  <si>
    <t>Altre spese</t>
  </si>
  <si>
    <t xml:space="preserve">     Spese colturali</t>
  </si>
  <si>
    <t>Carburanti</t>
  </si>
  <si>
    <t>Lubrificanti</t>
  </si>
  <si>
    <t>Manutenzione</t>
  </si>
  <si>
    <t>Assicurazioni</t>
  </si>
  <si>
    <t xml:space="preserve">     Spese meccanizzazione</t>
  </si>
  <si>
    <t xml:space="preserve">     Variazione inventario alimenti</t>
  </si>
  <si>
    <t xml:space="preserve">         COSTO ALIMENTI PRODOTTI</t>
  </si>
  <si>
    <t xml:space="preserve">         SPESE VARIE ALLEVAMENTO</t>
  </si>
  <si>
    <t>Quote associative</t>
  </si>
  <si>
    <t>Amministrazione</t>
  </si>
  <si>
    <t>Altre spese generali</t>
  </si>
  <si>
    <t>Manutenzione fondiaria</t>
  </si>
  <si>
    <t>Assicurazioni fondiarie</t>
  </si>
  <si>
    <t>Elettricità</t>
  </si>
  <si>
    <t>Contributi di bonifica</t>
  </si>
  <si>
    <t>Imposte fondiarie</t>
  </si>
  <si>
    <t xml:space="preserve">     Spese generali e fondiarie</t>
  </si>
  <si>
    <t xml:space="preserve">     Affitti</t>
  </si>
  <si>
    <t xml:space="preserve">         SPESE GENERALI</t>
  </si>
  <si>
    <t xml:space="preserve">     Quote ammortamento fabbricati</t>
  </si>
  <si>
    <t xml:space="preserve">     Quote ammortamento macchine</t>
  </si>
  <si>
    <t xml:space="preserve">         QUOTE D'AMMORTAMENTO</t>
  </si>
  <si>
    <t>1 Familiare specializzato</t>
  </si>
  <si>
    <t xml:space="preserve">   (2480 ore x 11500 lire)</t>
  </si>
  <si>
    <t>1 Familiare qualificato</t>
  </si>
  <si>
    <t>Manodopera familiare</t>
  </si>
  <si>
    <t>Oneri sociali familiari</t>
  </si>
  <si>
    <t>Lavoro salariato</t>
  </si>
  <si>
    <t>Oneri sociali salariati</t>
  </si>
  <si>
    <t xml:space="preserve">         COSTO DEL LAVORO</t>
  </si>
  <si>
    <t>Interessi pagati cap.fondiario</t>
  </si>
  <si>
    <t>Interessi pagati cap.agrario</t>
  </si>
  <si>
    <t>Interessi calcolati cap.fondiario</t>
  </si>
  <si>
    <t>Interessi calcolati cap.agrario</t>
  </si>
  <si>
    <t xml:space="preserve">          INTERESSI</t>
  </si>
  <si>
    <t xml:space="preserve">          COSTI TOTALI</t>
  </si>
  <si>
    <t>Formaggi e burro</t>
  </si>
  <si>
    <t>Mais da granella</t>
  </si>
  <si>
    <t xml:space="preserve">   (1200 ore x 9650 lire)</t>
  </si>
  <si>
    <t>Calcolo del costo di produzione del latte nell'azienda</t>
  </si>
  <si>
    <t>Spese varie</t>
  </si>
  <si>
    <t>Quote</t>
  </si>
  <si>
    <t>Imposte</t>
  </si>
  <si>
    <t xml:space="preserve">          COSTI OGGETTIVI</t>
  </si>
  <si>
    <t>Salari e stipendi</t>
  </si>
  <si>
    <t>Interessi</t>
  </si>
  <si>
    <t>Beneficio Fondiario</t>
  </si>
  <si>
    <t>PRODOTTO NETTO</t>
  </si>
  <si>
    <t xml:space="preserve">          COSTI REDDITO</t>
  </si>
  <si>
    <t>di cui monetari</t>
  </si>
  <si>
    <t xml:space="preserve">          PROFITTO O PERDITA</t>
  </si>
  <si>
    <t>PRODUZIONE LORDA VENDIBILE</t>
  </si>
  <si>
    <t>BILANCIO DELL'AZIENDA</t>
  </si>
  <si>
    <t>Concimi</t>
  </si>
  <si>
    <t>Diserbanti</t>
  </si>
  <si>
    <t>Mangimi</t>
  </si>
  <si>
    <t>Foraggi</t>
  </si>
  <si>
    <t>Carburanti e lubrificanti</t>
  </si>
  <si>
    <t>Spese diverse stalla</t>
  </si>
  <si>
    <t>Spese generali</t>
  </si>
  <si>
    <t xml:space="preserve">   Spese varie</t>
  </si>
  <si>
    <t>Quote ammortamento fabbricati</t>
  </si>
  <si>
    <t>Quote ammortamento macchine</t>
  </si>
  <si>
    <t>Quote manutenzione fabbricati</t>
  </si>
  <si>
    <t>Quote manutenzione macchine</t>
  </si>
  <si>
    <t>Quote di assicurazione</t>
  </si>
  <si>
    <t>IVA</t>
  </si>
  <si>
    <t>IRAP</t>
  </si>
  <si>
    <t xml:space="preserve">  Quote</t>
  </si>
  <si>
    <t xml:space="preserve">  Imposte</t>
  </si>
  <si>
    <t xml:space="preserve">                PRODOTTO NETTO AZIENDALE</t>
  </si>
  <si>
    <t>Salari dipendenti fissi</t>
  </si>
  <si>
    <t>Salari dipendenti avventizi</t>
  </si>
  <si>
    <t>Contributi sociali dipendenti</t>
  </si>
  <si>
    <t>Salari calcolati manodopera familiare</t>
  </si>
  <si>
    <t>Contributi sociali familiari</t>
  </si>
  <si>
    <t>I</t>
  </si>
  <si>
    <t>Stipendi</t>
  </si>
  <si>
    <t>Affitti passivi</t>
  </si>
  <si>
    <t>Valore d'uso terreni propri</t>
  </si>
  <si>
    <t xml:space="preserve">             di cui monetari (espliciti)</t>
  </si>
  <si>
    <t xml:space="preserve">             di cui calcolati (impliciti)</t>
  </si>
  <si>
    <t xml:space="preserve">                  PROFITTO O PERDITA</t>
  </si>
  <si>
    <t xml:space="preserve">                  REDDITO NETTO IMPRENDITORE</t>
  </si>
  <si>
    <t xml:space="preserve">                  REDDITO DI LAVORO</t>
  </si>
  <si>
    <t xml:space="preserve">                  REDDITO DI LAVORO FAMILIARE</t>
  </si>
  <si>
    <t>Parziali</t>
  </si>
  <si>
    <t>Totali</t>
  </si>
  <si>
    <t>Sv</t>
  </si>
  <si>
    <t>Q</t>
  </si>
  <si>
    <t>Tr</t>
  </si>
  <si>
    <t>Co=Sv+Q+Tr</t>
  </si>
  <si>
    <t>Pna=Plv-Co</t>
  </si>
  <si>
    <t>Plv</t>
  </si>
  <si>
    <t>Salari</t>
  </si>
  <si>
    <t>Sa</t>
  </si>
  <si>
    <t>St</t>
  </si>
  <si>
    <t>Bf</t>
  </si>
  <si>
    <t>CR=Sa+St+I+Bf</t>
  </si>
  <si>
    <t>RN=PN-Cre</t>
  </si>
  <si>
    <t xml:space="preserve">   CRe</t>
  </si>
  <si>
    <t xml:space="preserve">   CRi</t>
  </si>
  <si>
    <t>RL=PN-I-Bf</t>
  </si>
  <si>
    <t>RLF=PN-I-Bf-Sad</t>
  </si>
  <si>
    <t>T=Plv-CO-CR</t>
  </si>
  <si>
    <t>CT=CO+CR</t>
  </si>
  <si>
    <t>CV=SV+Ica</t>
  </si>
  <si>
    <t>CF=Q+Tr+Sa+St+lcf+Bf</t>
  </si>
  <si>
    <t>CI=CRi</t>
  </si>
  <si>
    <t>CE=CO+CRe</t>
  </si>
  <si>
    <t>RN=PN-CRe</t>
  </si>
  <si>
    <t>SUPERFICI E MANODOPERA</t>
  </si>
  <si>
    <t>CARATTERISTICHE ALLEVAMENTO</t>
  </si>
  <si>
    <t>SAU (ettari)</t>
  </si>
  <si>
    <t>UBA allevamento bovino</t>
  </si>
  <si>
    <t xml:space="preserve"> - affitto</t>
  </si>
  <si>
    <t>Vacche da latte (n°)</t>
  </si>
  <si>
    <t xml:space="preserve"> - proprietà</t>
  </si>
  <si>
    <t>Latte (t/anno)</t>
  </si>
  <si>
    <t>UL totali</t>
  </si>
  <si>
    <t>Resa (kg/vacca/anno)</t>
  </si>
  <si>
    <t>Ore di lavoro</t>
  </si>
  <si>
    <t>INDICATORI TECNICI</t>
  </si>
  <si>
    <t>FORAGGERE</t>
  </si>
  <si>
    <t>SAU</t>
  </si>
  <si>
    <t>Resa t/ha</t>
  </si>
  <si>
    <t>Produzione</t>
  </si>
  <si>
    <t>% UFL prodotte</t>
  </si>
  <si>
    <t>Silomais</t>
  </si>
  <si>
    <t>UFL / UBA</t>
  </si>
  <si>
    <t>UFL prodotte / ha foraggere</t>
  </si>
  <si>
    <t>UBA / ettaro foraggere</t>
  </si>
  <si>
    <t>Vacche / ha foraggere</t>
  </si>
  <si>
    <t>SAU foraggera</t>
  </si>
  <si>
    <t>Latte / ettaro foraggere (t)</t>
  </si>
  <si>
    <t>UFL prodotte</t>
  </si>
  <si>
    <t>Ore lavoro / ettaro</t>
  </si>
  <si>
    <t>UFL acquistate</t>
  </si>
  <si>
    <t>Ore lavoro / vacca</t>
  </si>
  <si>
    <t>UFL totali</t>
  </si>
  <si>
    <t>Ore lavoro / tonn. latte</t>
  </si>
  <si>
    <t>Caratteristiche strutturali e tecniche dell'azienda</t>
  </si>
  <si>
    <t>Pascolo (fieno)</t>
  </si>
  <si>
    <t>Prato stabile (fieno)</t>
  </si>
  <si>
    <t>Prato stabile (erba)</t>
  </si>
  <si>
    <t>Riclassificazione conto profitti e perdite</t>
  </si>
  <si>
    <t>A) VALORE DELLA PRODUZIONE</t>
  </si>
  <si>
    <t>1)   Ricavi delle vendite e delle prestazioni</t>
  </si>
  <si>
    <t>a) Vendite produzioni vegetali</t>
  </si>
  <si>
    <t>Prodotti vegetali</t>
  </si>
  <si>
    <t>b) Vendite produzioni zootecniche</t>
  </si>
  <si>
    <t>Carne venduta</t>
  </si>
  <si>
    <t>c) Prestazione di servizi</t>
  </si>
  <si>
    <t>Finali</t>
  </si>
  <si>
    <t>Iniziali</t>
  </si>
  <si>
    <t>2)   Variazioni delle rimanenze di prodotti</t>
  </si>
  <si>
    <t>a) Var. rimanenze prodotti vegetali</t>
  </si>
  <si>
    <t>b) Var. rimanenze prodotti zootecnici</t>
  </si>
  <si>
    <t>Scorte vive - bestiame</t>
  </si>
  <si>
    <t>Letame</t>
  </si>
  <si>
    <t>3)   Variazione lavori in corso su ordinazione</t>
  </si>
  <si>
    <t>4)   Incrementi di immobilizzazioni per lavori interni</t>
  </si>
  <si>
    <t>a) Incrementi immobilizzazioni immateriali</t>
  </si>
  <si>
    <t>b) Incrementi immobilizzazioni materiali</t>
  </si>
  <si>
    <t>5)   Altri ricavi e proventi</t>
  </si>
  <si>
    <t>B) COSTI DELLA PRODUZIONE</t>
  </si>
  <si>
    <t>6)   Materie prime, sussidiarie, di consumo e merci</t>
  </si>
  <si>
    <t>a) Acquisti per le produzioni vegetali</t>
  </si>
  <si>
    <t>Varie</t>
  </si>
  <si>
    <t>b) Acquisti per le produzioni zootecniche</t>
  </si>
  <si>
    <t>Alimenti bestiame</t>
  </si>
  <si>
    <t xml:space="preserve">    Mangimi diversi</t>
  </si>
  <si>
    <t xml:space="preserve">    Fieno</t>
  </si>
  <si>
    <t>Lettiera</t>
  </si>
  <si>
    <t>Energia</t>
  </si>
  <si>
    <t>Varie stalla</t>
  </si>
  <si>
    <t>c) Acquisti beni vari</t>
  </si>
  <si>
    <t>7)   Servizi</t>
  </si>
  <si>
    <t>a) Servizi per la produzione</t>
  </si>
  <si>
    <t>Servizi campagna</t>
  </si>
  <si>
    <t>Servizi stalla</t>
  </si>
  <si>
    <t xml:space="preserve">    Veterinario</t>
  </si>
  <si>
    <t>b) Servizi commerciali</t>
  </si>
  <si>
    <t>c) Servizi amministrativi e generali</t>
  </si>
  <si>
    <t>Trasporti</t>
  </si>
  <si>
    <t xml:space="preserve">   Oneri fondiari</t>
  </si>
  <si>
    <t xml:space="preserve">   Diverse</t>
  </si>
  <si>
    <t>d) Manutenzioni e riparazioni</t>
  </si>
  <si>
    <t>Macchine e attrezzi</t>
  </si>
  <si>
    <t>Fondiarie</t>
  </si>
  <si>
    <t>Impianti</t>
  </si>
  <si>
    <t>8)   Godimento di beni di terzi</t>
  </si>
  <si>
    <t>a) Locazioni ed affitti passivi</t>
  </si>
  <si>
    <t>b) Beneficio fondiario (terreni propri)</t>
  </si>
  <si>
    <t>9)   Lavoro</t>
  </si>
  <si>
    <t>a) Personale dipendente</t>
  </si>
  <si>
    <t>Anzianità e contributi fissi</t>
  </si>
  <si>
    <t>Stipendi fissi</t>
  </si>
  <si>
    <t>Stipendi avventizi</t>
  </si>
  <si>
    <t>b) Imprenditore e familiari</t>
  </si>
  <si>
    <t>Contributi previdenziali</t>
  </si>
  <si>
    <t>10) Ammortamenti e svalutazioni</t>
  </si>
  <si>
    <t>a) Amm. immobilizzazioni immateriali</t>
  </si>
  <si>
    <t>b) Amm. immobilizzazioni materiali</t>
  </si>
  <si>
    <t>Amm. macchine e attrezzi</t>
  </si>
  <si>
    <t>c) Altre svalutazioni delle immobilizzazioni</t>
  </si>
  <si>
    <t>d) Svalutazione di crediti e liquidità</t>
  </si>
  <si>
    <t>11) Variazione delle rimanenze delle materie prime</t>
  </si>
  <si>
    <t>c) Var. rimanenze mezzi tecnici campagna</t>
  </si>
  <si>
    <t>Vari</t>
  </si>
  <si>
    <t>d) Var. rimanenze mezzi tecnici stalla</t>
  </si>
  <si>
    <t>Foraggi acquistati</t>
  </si>
  <si>
    <t>e) Var. rimanenze mezzi tecnici congiunti</t>
  </si>
  <si>
    <t>12) Accantonamenti per rischi</t>
  </si>
  <si>
    <t>13) Altri accantomenti</t>
  </si>
  <si>
    <t>14) Oneri diversi di gestione</t>
  </si>
  <si>
    <t>DIFFERENZA TRA VALORE E COSTI DELLA PRODUZIONE</t>
  </si>
  <si>
    <t>C) PROVENTI E ONERI FINANZIARI</t>
  </si>
  <si>
    <t>15) Proventi da partecipazioni</t>
  </si>
  <si>
    <t>16) Altri proventi finanziari</t>
  </si>
  <si>
    <t>a) da crediti iscritti nelle immobilizzazioni</t>
  </si>
  <si>
    <t>b) da titoli iscritti nelle immobilizzazioni</t>
  </si>
  <si>
    <t>c) da titoli iscritti nell'attivo circolante</t>
  </si>
  <si>
    <t>d) Proventi diversi dai precedenti</t>
  </si>
  <si>
    <t>17) Interessi ed altri oneri finanziari</t>
  </si>
  <si>
    <t>D) RETTIFICHE DI VALORE DI ATTIVITA' FINANZIARIE</t>
  </si>
  <si>
    <t>18) Rivalutazioni</t>
  </si>
  <si>
    <t>a) di Partecipazioni</t>
  </si>
  <si>
    <t>b) di Immobilizzazioni finanziarie</t>
  </si>
  <si>
    <t>c) di Titoli iscritti nell'attivo circolante</t>
  </si>
  <si>
    <t>19) Svalutazioni</t>
  </si>
  <si>
    <t>E) PROVENTI E ONERI STRAORDINARI</t>
  </si>
  <si>
    <t>20) Proventi, (plusvalenze da alienazioni)</t>
  </si>
  <si>
    <t>Vendite macchine</t>
  </si>
  <si>
    <t>Contributi straordinari</t>
  </si>
  <si>
    <t>21) Oneri, (minusvalenze da alienazioni)</t>
  </si>
  <si>
    <t>RISULTATO PRIMA DELLE IMPOSTE</t>
  </si>
  <si>
    <t>Determinazione dei redditi dal bilancio di esercizio</t>
  </si>
  <si>
    <t>(1)</t>
  </si>
  <si>
    <t>Valore della produzione</t>
  </si>
  <si>
    <t>(2)</t>
  </si>
  <si>
    <t>Valore aggiunto</t>
  </si>
  <si>
    <t>Costo del lavoro</t>
  </si>
  <si>
    <t>(3)</t>
  </si>
  <si>
    <t>Margine operativo lordo</t>
  </si>
  <si>
    <t>Oneri industriali: ammortamenti</t>
  </si>
  <si>
    <t>(4)</t>
  </si>
  <si>
    <t>(5)</t>
  </si>
  <si>
    <t>Costi generali</t>
  </si>
  <si>
    <t xml:space="preserve"> Servizi amministrativi e generali</t>
  </si>
  <si>
    <t xml:space="preserve"> Manutenzioni e riparazioni</t>
  </si>
  <si>
    <t xml:space="preserve"> Locazioni ed affitti passivi</t>
  </si>
  <si>
    <t>(6)</t>
  </si>
  <si>
    <t>Reddito operativo lordo gestione caratteristica</t>
  </si>
  <si>
    <t>Risultato gestione finanziaria</t>
  </si>
  <si>
    <t>(7)</t>
  </si>
  <si>
    <t>Reddito di esercizio al lordo delle imposte</t>
  </si>
  <si>
    <t>(8)</t>
  </si>
  <si>
    <t>Reddito netto d'esercizio</t>
  </si>
  <si>
    <t>Identificazione dei costi dal bilancio di esercizio</t>
  </si>
  <si>
    <t>Margine di contribuzione</t>
  </si>
  <si>
    <r>
      <t xml:space="preserve">Reddito lordo industriale </t>
    </r>
    <r>
      <rPr>
        <b/>
        <sz val="10"/>
        <color indexed="8"/>
        <rFont val="Arial"/>
        <family val="2"/>
      </rPr>
      <t>(Margine operativo netto)</t>
    </r>
  </si>
  <si>
    <t>Formaggi e burro venduti</t>
  </si>
  <si>
    <t xml:space="preserve"> Insilato di mais</t>
  </si>
  <si>
    <t xml:space="preserve">    Polpe di bietola</t>
  </si>
  <si>
    <t>Sanitarie (medicinali e FA)</t>
  </si>
  <si>
    <t xml:space="preserve">    Noleggi conto terzi</t>
  </si>
  <si>
    <t xml:space="preserve">   Energia elettrica</t>
  </si>
  <si>
    <t xml:space="preserve">   Quote associative</t>
  </si>
  <si>
    <t>Canone di affitto terreni</t>
  </si>
  <si>
    <t>Canone di alpeggio</t>
  </si>
  <si>
    <t>Mangimi acquistati</t>
  </si>
  <si>
    <t>Amm. fabbricati</t>
  </si>
  <si>
    <t>COSTI TOTALI</t>
  </si>
  <si>
    <t>Indici tecnico-economici</t>
  </si>
  <si>
    <t>Indice</t>
  </si>
  <si>
    <t>Azienda</t>
  </si>
  <si>
    <t>Gruppo</t>
  </si>
  <si>
    <t>Prodotto netto / ettaro di Sau</t>
  </si>
  <si>
    <t>Costi oggettivi / ettaro Sau</t>
  </si>
  <si>
    <t>Produzione lorda vendibile / ettaro Sau</t>
  </si>
  <si>
    <t>Costi reddito espliciti / ettaro di Sau</t>
  </si>
  <si>
    <t>Reddito netto / ettaro di Sau</t>
  </si>
  <si>
    <t>Reddito di lavoro familiare / ettaro di Sau</t>
  </si>
  <si>
    <t>Prodotto netto / U.L.</t>
  </si>
  <si>
    <t>Costi reddito espliciti / U.L.</t>
  </si>
  <si>
    <t>Costi oggettivi / U.L.</t>
  </si>
  <si>
    <t>Produzione lorda vendibile / U.L.</t>
  </si>
  <si>
    <t>Reddito netto / U.L. familiare</t>
  </si>
  <si>
    <t>Reddito di lavoro familiare / U.L. familiare</t>
  </si>
  <si>
    <t>SAU foraggera (ettari)</t>
  </si>
  <si>
    <t>Indici tecnici</t>
  </si>
  <si>
    <t>Indici economici</t>
  </si>
  <si>
    <t>Prodotto netto / produzione lorda vendibile</t>
  </si>
  <si>
    <t>Reddito netto / produzione lorda vendibile</t>
  </si>
  <si>
    <t>Reddito lavoro / produzione lorda vendibile</t>
  </si>
  <si>
    <t>Costi oggettivi / produzione lorda vendibile</t>
  </si>
  <si>
    <t>Costi espliciti / produzione lorda vendibile</t>
  </si>
  <si>
    <t>UBA / UL</t>
  </si>
  <si>
    <t>Ettari / UL</t>
  </si>
  <si>
    <t>ANALISI DEL PUNTO DI PARITA' (BREAK-EVEN ANALYSIS)</t>
  </si>
  <si>
    <t>Ricavo unitario</t>
  </si>
  <si>
    <t>Ricavo totale</t>
  </si>
  <si>
    <t>Costi fissi totali</t>
  </si>
  <si>
    <t>Costi variabili unitari</t>
  </si>
  <si>
    <t>Costi variabili totali</t>
  </si>
  <si>
    <t>Costi totali</t>
  </si>
  <si>
    <t>Utile/ perdita</t>
  </si>
  <si>
    <t xml:space="preserve">QE= </t>
  </si>
  <si>
    <t>CF / (Ricavo unitario-costo variabile)</t>
  </si>
  <si>
    <t xml:space="preserve"> tonnellate</t>
  </si>
  <si>
    <t>Break-even</t>
  </si>
  <si>
    <t>euro / t</t>
  </si>
  <si>
    <t>Importo (euro)</t>
  </si>
  <si>
    <t>BILANCIO DELL'AZIENDA (valori in euro)</t>
  </si>
  <si>
    <t>Totali (euro)</t>
  </si>
  <si>
    <t xml:space="preserve">   (2480 ore x 7 €)</t>
  </si>
  <si>
    <t xml:space="preserve">   (1200 ore x 6 €)</t>
  </si>
  <si>
    <t>IVA e IRAP</t>
  </si>
  <si>
    <t>Fieno di prato stabile (200 q x 10,33 €/q)</t>
  </si>
  <si>
    <t>Trinciato di mais (150 q x 3,10 €/q)</t>
  </si>
  <si>
    <t>136,55 t * 335,7 €</t>
  </si>
  <si>
    <t>9,5 t * 619,75 €</t>
  </si>
  <si>
    <t>6740 € V + 3563 € IF-II</t>
  </si>
  <si>
    <t>14 t * 154,94 €/t</t>
  </si>
  <si>
    <t>Quote ammortamento fabbricati (18.369 € 3%)</t>
  </si>
  <si>
    <t>Quote ammortamento macchine (58.532 € 6%)</t>
  </si>
  <si>
    <t>Quote manutenzione fabbricati (18.369 € 1,5%)</t>
  </si>
  <si>
    <t>Gruppo = 100</t>
  </si>
  <si>
    <t>ATTIVO</t>
  </si>
  <si>
    <t>PASSIVO</t>
  </si>
  <si>
    <t>Attivo circolante</t>
  </si>
  <si>
    <t>Debiti a breve termine : esigibilità</t>
  </si>
  <si>
    <t>Liquidità: cassa e c/c bancari attivi</t>
  </si>
  <si>
    <t>Debiti a lungo termine : redimibilità</t>
  </si>
  <si>
    <t>Mutui per terreni</t>
  </si>
  <si>
    <t>Attivo fisso - immobilizzazioni</t>
  </si>
  <si>
    <t>Mutui per fabbricati</t>
  </si>
  <si>
    <t>Terreni</t>
  </si>
  <si>
    <t>Mutui per attrezzature</t>
  </si>
  <si>
    <t>Fabbricati</t>
  </si>
  <si>
    <t>Fondo quiescenza salariati</t>
  </si>
  <si>
    <t>Impianti e macchine</t>
  </si>
  <si>
    <t>Capitale netto aziendale</t>
  </si>
  <si>
    <t>Bestiame</t>
  </si>
  <si>
    <t>Capitale netto iniziale</t>
  </si>
  <si>
    <t>Partecipazioni finanziarie</t>
  </si>
  <si>
    <t>Utile/perdita d'esercizio</t>
  </si>
  <si>
    <t>Attivo totale - IMPIEGHI</t>
  </si>
  <si>
    <t>Passivo totale - FONTI</t>
  </si>
  <si>
    <t>Debiti verso fornitori</t>
  </si>
  <si>
    <t>Crediti a breve termine (clienti)</t>
  </si>
  <si>
    <t>INDICI SITUAZIONE FINANZIARIA</t>
  </si>
  <si>
    <t>Immobilizzo debiti l.t. (Redimibilità/Immobilizzazioni)</t>
  </si>
  <si>
    <t>Immobilizzo cap.netto (Cap.netto/Immobilizzazioni)</t>
  </si>
  <si>
    <t>Immobilizzo cap.esterni (Contributi/Immobilizzaz.)</t>
  </si>
  <si>
    <t>INDICI DI RENDIMENTO</t>
  </si>
  <si>
    <t>ROE (Reddito netto/Capitale netto)</t>
  </si>
  <si>
    <t>ROI (Reddito operativo/Capitale investito)</t>
  </si>
  <si>
    <t>ROD (Interessi passivi/finanziamento passivo)</t>
  </si>
  <si>
    <t>ROS (Reddito operativo / Fatturato)</t>
  </si>
  <si>
    <t>Prelievi per famiglia</t>
  </si>
  <si>
    <t>Debiti verso banche per credito conduzione</t>
  </si>
  <si>
    <t>Magazzino - prodotti vendibili</t>
  </si>
  <si>
    <t>Magazzino - mezzi tecnici</t>
  </si>
  <si>
    <t xml:space="preserve"> - Fondo di ammortamento fabbricati</t>
  </si>
  <si>
    <t xml:space="preserve"> - Fondo di ammortamento macchine</t>
  </si>
  <si>
    <t>Liquidità corrente (Attività correnti / Esigibilità)</t>
  </si>
  <si>
    <t>Liquidità immediata (Liquidità / Esigibilità)</t>
  </si>
  <si>
    <t>Produzione (tonnellate)</t>
  </si>
  <si>
    <t>SITUAZIONE PATRIMONIALE AL 31.12.2001</t>
  </si>
  <si>
    <t>euro/t</t>
  </si>
  <si>
    <t>RA=PN-Sa-St-Bf</t>
  </si>
  <si>
    <t>RD=PN-Sa-St-I</t>
  </si>
  <si>
    <t xml:space="preserve">                  REDDITO AGRARIO</t>
  </si>
  <si>
    <t xml:space="preserve">                  REDDITO FONDIARIO</t>
  </si>
  <si>
    <t>750 € PUA + 513 € comp</t>
  </si>
  <si>
    <t>a) Anticipazioni colturali</t>
  </si>
  <si>
    <t xml:space="preserve">          REDDITO NETTO SENZA PREMI</t>
  </si>
  <si>
    <t xml:space="preserve">          REDDITO NETTO CON PREMI</t>
  </si>
  <si>
    <t>Premi e sovvenzioni</t>
  </si>
  <si>
    <t xml:space="preserve"> 36.893 / (335,70-185,22) =</t>
  </si>
  <si>
    <t>Budget 2002</t>
  </si>
  <si>
    <t>Variazione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</si>
  <si>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</si>
  <si>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</si>
  <si>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</si>
  <si>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</si>
  <si>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</si>
  <si>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</si>
  <si>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</si>
  <si>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</si>
  <si>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</si>
  <si>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</si>
  <si>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</si>
  <si>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</si>
  <si>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BDGT 1 trim</t>
  </si>
  <si>
    <t>Gen-Mar</t>
  </si>
  <si>
    <t>Diff%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</si>
</sst>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\ &quot;FB&quot;;\-#,##0\ &quot;FB&quot;"/>
    <numFmt numFmtId="171" formatCode="#,##0\ &quot;FB&quot;;[Red]\-#,##0\ &quot;FB&quot;"/>
    <numFmt numFmtId="172" formatCode="#,##0.00\ &quot;FB&quot;;\-#,##0.00\ &quot;FB&quot;"/>
    <numFmt numFmtId="173" formatCode="#,##0.00\ &quot;FB&quot;;[Red]\-#,##0.00\ &quot;FB&quot;"/>
    <numFmt numFmtId="174" formatCode="_-* #,##0\ &quot;FB&quot;_-;\-* #,##0\ &quot;FB&quot;_-;_-* &quot;-&quot;\ &quot;FB&quot;_-;_-@_-"/>
    <numFmt numFmtId="175" formatCode="_-* #,##0\ _F_B_-;\-* #,##0\ _F_B_-;_-* &quot;-&quot;\ _F_B_-;_-@_-"/>
    <numFmt numFmtId="176" formatCode="_-* #,##0.00\ &quot;FB&quot;_-;\-* #,##0.00\ &quot;FB&quot;_-;_-* &quot;-&quot;??\ &quot;FB&quot;_-;_-@_-"/>
    <numFmt numFmtId="177" formatCode="_-* #,##0.00\ _F_B_-;\-* #,##0.00\ _F_B_-;_-* &quot;-&quot;??\ _F_B_-;_-@_-"/>
    <numFmt numFmtId="178" formatCode="0.0"/>
    <numFmt numFmtId="179" formatCode="0.000"/>
    <numFmt numFmtId="180" formatCode="0.00000"/>
    <numFmt numFmtId="181" formatCode="0.0000"/>
    <numFmt numFmtId="182" formatCode="_-* #,##0.0\ _F_B_-;\-* #,##0.0\ _F_B_-;_-* &quot;-&quot;??\ _F_B_-;_-@_-"/>
    <numFmt numFmtId="183" formatCode="0.0%"/>
    <numFmt numFmtId="184" formatCode="#,##0_ ;\-#,##0\ "/>
    <numFmt numFmtId="185" formatCode="d/m"/>
    <numFmt numFmtId="186" formatCode="#,##0.0_ ;\-#,##0.0\ "/>
    <numFmt numFmtId="187" formatCode="_-* #,##0.0_-;\-* #,##0.0_-;_-* &quot;-&quot;_-;_-@_-"/>
    <numFmt numFmtId="188" formatCode="_-* #,##0.00_-;\-* #,##0.00_-;_-* &quot;-&quot;_-;_-@_-"/>
    <numFmt numFmtId="189" formatCode="_-* #,##0.000_-;\-* #,##0.000_-;_-* &quot;-&quot;_-;_-@_-"/>
    <numFmt numFmtId="190" formatCode="_-* #,##0.0000_-;\-* #,##0.0000_-;_-* &quot;-&quot;_-;_-@_-"/>
    <numFmt numFmtId="191" formatCode="#,##0.0"/>
    <numFmt numFmtId="192" formatCode="#,##0.00_ ;\-#,##0.00\ "/>
    <numFmt numFmtId="193" formatCode="_-* #,##0.0_-;\-* #,##0.0_-;_-* &quot;-&quot;??_-;_-@_-"/>
    <numFmt numFmtId="194" formatCode="_-* #,##0_-;\-* #,##0_-;_-* &quot;-&quot;??_-;_-@_-"/>
  </numFmts>
  <fonts count="18">
    <font>
      <sz val="10"/>
      <name val="Arial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lightGray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84" fontId="1" fillId="0" borderId="0" xfId="18" applyNumberFormat="1" applyFont="1" applyFill="1" applyAlignment="1">
      <alignment/>
    </xf>
    <xf numFmtId="183" fontId="1" fillId="0" borderId="0" xfId="19" applyNumberFormat="1" applyFont="1" applyFill="1" applyAlignment="1">
      <alignment/>
    </xf>
    <xf numFmtId="0" fontId="1" fillId="0" borderId="2" xfId="0" applyFont="1" applyFill="1" applyBorder="1" applyAlignment="1">
      <alignment/>
    </xf>
    <xf numFmtId="184" fontId="1" fillId="0" borderId="2" xfId="18" applyNumberFormat="1" applyFont="1" applyFill="1" applyBorder="1" applyAlignment="1">
      <alignment/>
    </xf>
    <xf numFmtId="178" fontId="1" fillId="0" borderId="2" xfId="0" applyNumberFormat="1" applyFont="1" applyFill="1" applyBorder="1" applyAlignment="1">
      <alignment/>
    </xf>
    <xf numFmtId="183" fontId="1" fillId="0" borderId="2" xfId="19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84" fontId="3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184" fontId="1" fillId="0" borderId="0" xfId="0" applyNumberFormat="1" applyFont="1" applyFill="1" applyAlignment="1">
      <alignment/>
    </xf>
    <xf numFmtId="184" fontId="1" fillId="0" borderId="2" xfId="0" applyNumberFormat="1" applyFont="1" applyFill="1" applyBorder="1" applyAlignment="1">
      <alignment/>
    </xf>
    <xf numFmtId="177" fontId="2" fillId="0" borderId="0" xfId="18" applyFont="1" applyAlignment="1">
      <alignment/>
    </xf>
    <xf numFmtId="184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184" fontId="1" fillId="0" borderId="3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84" fontId="1" fillId="0" borderId="1" xfId="0" applyNumberFormat="1" applyFont="1" applyFill="1" applyBorder="1" applyAlignment="1">
      <alignment/>
    </xf>
    <xf numFmtId="0" fontId="4" fillId="0" borderId="4" xfId="0" applyFont="1" applyBorder="1" applyAlignment="1">
      <alignment/>
    </xf>
    <xf numFmtId="0" fontId="3" fillId="0" borderId="4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184" fontId="1" fillId="0" borderId="4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184" fontId="1" fillId="2" borderId="4" xfId="0" applyNumberFormat="1" applyFont="1" applyFill="1" applyBorder="1" applyAlignment="1">
      <alignment/>
    </xf>
    <xf numFmtId="184" fontId="1" fillId="2" borderId="5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184" fontId="1" fillId="2" borderId="3" xfId="0" applyNumberFormat="1" applyFont="1" applyFill="1" applyBorder="1" applyAlignment="1">
      <alignment/>
    </xf>
    <xf numFmtId="184" fontId="1" fillId="2" borderId="1" xfId="0" applyNumberFormat="1" applyFont="1" applyFill="1" applyBorder="1" applyAlignment="1">
      <alignment/>
    </xf>
    <xf numFmtId="0" fontId="4" fillId="0" borderId="5" xfId="0" applyFont="1" applyBorder="1" applyAlignment="1">
      <alignment/>
    </xf>
    <xf numFmtId="0" fontId="1" fillId="0" borderId="5" xfId="0" applyFont="1" applyFill="1" applyBorder="1" applyAlignment="1">
      <alignment/>
    </xf>
    <xf numFmtId="184" fontId="1" fillId="0" borderId="5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184" fontId="1" fillId="2" borderId="2" xfId="0" applyNumberFormat="1" applyFont="1" applyFill="1" applyBorder="1" applyAlignment="1">
      <alignment/>
    </xf>
    <xf numFmtId="184" fontId="3" fillId="0" borderId="3" xfId="0" applyNumberFormat="1" applyFont="1" applyFill="1" applyBorder="1" applyAlignment="1">
      <alignment/>
    </xf>
    <xf numFmtId="184" fontId="3" fillId="0" borderId="4" xfId="0" applyNumberFormat="1" applyFont="1" applyFill="1" applyBorder="1" applyAlignment="1">
      <alignment/>
    </xf>
    <xf numFmtId="184" fontId="3" fillId="2" borderId="5" xfId="0" applyNumberFormat="1" applyFont="1" applyFill="1" applyBorder="1" applyAlignment="1">
      <alignment/>
    </xf>
    <xf numFmtId="184" fontId="3" fillId="0" borderId="5" xfId="0" applyNumberFormat="1" applyFont="1" applyFill="1" applyBorder="1" applyAlignment="1">
      <alignment/>
    </xf>
    <xf numFmtId="184" fontId="3" fillId="2" borderId="1" xfId="0" applyNumberFormat="1" applyFont="1" applyFill="1" applyBorder="1" applyAlignment="1">
      <alignment/>
    </xf>
    <xf numFmtId="184" fontId="3" fillId="2" borderId="3" xfId="0" applyNumberFormat="1" applyFont="1" applyFill="1" applyBorder="1" applyAlignment="1">
      <alignment/>
    </xf>
    <xf numFmtId="184" fontId="3" fillId="2" borderId="4" xfId="0" applyNumberFormat="1" applyFont="1" applyFill="1" applyBorder="1" applyAlignment="1">
      <alignment/>
    </xf>
    <xf numFmtId="184" fontId="3" fillId="2" borderId="2" xfId="0" applyNumberFormat="1" applyFont="1" applyFill="1" applyBorder="1" applyAlignment="1">
      <alignment/>
    </xf>
    <xf numFmtId="184" fontId="3" fillId="0" borderId="2" xfId="0" applyNumberFormat="1" applyFont="1" applyFill="1" applyBorder="1" applyAlignment="1">
      <alignment/>
    </xf>
    <xf numFmtId="184" fontId="2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" fillId="0" borderId="6" xfId="0" applyFont="1" applyFill="1" applyBorder="1" applyAlignment="1">
      <alignment horizontal="centerContinuous"/>
    </xf>
    <xf numFmtId="0" fontId="3" fillId="0" borderId="6" xfId="0" applyFont="1" applyFill="1" applyBorder="1" applyAlignment="1">
      <alignment/>
    </xf>
    <xf numFmtId="0" fontId="7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78" fontId="7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7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"/>
    </xf>
    <xf numFmtId="2" fontId="7" fillId="0" borderId="0" xfId="0" applyNumberFormat="1" applyFont="1" applyAlignment="1">
      <alignment/>
    </xf>
    <xf numFmtId="3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41" fontId="1" fillId="0" borderId="0" xfId="17" applyFont="1" applyFill="1" applyAlignment="1">
      <alignment/>
    </xf>
    <xf numFmtId="184" fontId="1" fillId="0" borderId="0" xfId="18" applyNumberFormat="1" applyFont="1" applyFill="1" applyBorder="1" applyAlignment="1">
      <alignment/>
    </xf>
    <xf numFmtId="186" fontId="1" fillId="0" borderId="0" xfId="18" applyNumberFormat="1" applyFont="1" applyFill="1" applyBorder="1" applyAlignment="1">
      <alignment/>
    </xf>
    <xf numFmtId="0" fontId="8" fillId="0" borderId="0" xfId="0" applyFont="1" applyAlignment="1" quotePrefix="1">
      <alignment horizontal="left"/>
    </xf>
    <xf numFmtId="184" fontId="3" fillId="0" borderId="0" xfId="18" applyNumberFormat="1" applyFont="1" applyFill="1" applyBorder="1" applyAlignment="1">
      <alignment/>
    </xf>
    <xf numFmtId="186" fontId="3" fillId="0" borderId="0" xfId="18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86" fontId="1" fillId="0" borderId="0" xfId="0" applyNumberFormat="1" applyFont="1" applyFill="1" applyAlignment="1">
      <alignment/>
    </xf>
    <xf numFmtId="186" fontId="3" fillId="0" borderId="0" xfId="0" applyNumberFormat="1" applyFont="1" applyFill="1" applyAlignment="1">
      <alignment/>
    </xf>
    <xf numFmtId="184" fontId="4" fillId="0" borderId="0" xfId="0" applyNumberFormat="1" applyFont="1" applyAlignment="1">
      <alignment/>
    </xf>
    <xf numFmtId="0" fontId="2" fillId="0" borderId="0" xfId="0" applyFont="1" applyAlignment="1">
      <alignment horizontal="left" inden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41" fontId="2" fillId="0" borderId="0" xfId="17" applyFont="1" applyAlignment="1">
      <alignment/>
    </xf>
    <xf numFmtId="3" fontId="3" fillId="0" borderId="0" xfId="0" applyNumberFormat="1" applyFont="1" applyFill="1" applyAlignment="1">
      <alignment/>
    </xf>
    <xf numFmtId="178" fontId="3" fillId="0" borderId="0" xfId="0" applyNumberFormat="1" applyFont="1" applyFill="1" applyAlignment="1">
      <alignment/>
    </xf>
    <xf numFmtId="41" fontId="3" fillId="0" borderId="0" xfId="17" applyFont="1" applyFill="1" applyAlignment="1">
      <alignment/>
    </xf>
    <xf numFmtId="178" fontId="3" fillId="0" borderId="2" xfId="0" applyNumberFormat="1" applyFont="1" applyFill="1" applyBorder="1" applyAlignment="1">
      <alignment/>
    </xf>
    <xf numFmtId="41" fontId="2" fillId="0" borderId="2" xfId="17" applyFont="1" applyBorder="1" applyAlignment="1">
      <alignment/>
    </xf>
    <xf numFmtId="0" fontId="4" fillId="0" borderId="1" xfId="0" applyFont="1" applyBorder="1" applyAlignment="1">
      <alignment horizontal="center"/>
    </xf>
    <xf numFmtId="183" fontId="2" fillId="0" borderId="0" xfId="19" applyNumberFormat="1" applyFont="1" applyAlignment="1">
      <alignment/>
    </xf>
    <xf numFmtId="183" fontId="2" fillId="0" borderId="2" xfId="19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16" applyNumberFormat="1" applyAlignment="1">
      <alignment/>
    </xf>
    <xf numFmtId="3" fontId="0" fillId="0" borderId="0" xfId="0" applyNumberForma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49" fontId="15" fillId="0" borderId="0" xfId="0" applyNumberFormat="1" applyFont="1" applyAlignment="1" quotePrefix="1">
      <alignment/>
    </xf>
    <xf numFmtId="2" fontId="15" fillId="0" borderId="0" xfId="0" applyNumberFormat="1" applyFont="1" applyBorder="1" applyAlignment="1">
      <alignment/>
    </xf>
    <xf numFmtId="0" fontId="15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3" fontId="0" fillId="0" borderId="2" xfId="16" applyNumberFormat="1" applyBorder="1" applyAlignment="1">
      <alignment/>
    </xf>
    <xf numFmtId="3" fontId="0" fillId="0" borderId="2" xfId="0" applyNumberFormat="1" applyBorder="1" applyAlignment="1">
      <alignment/>
    </xf>
    <xf numFmtId="2" fontId="1" fillId="0" borderId="2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/>
    </xf>
    <xf numFmtId="1" fontId="3" fillId="0" borderId="0" xfId="0" applyNumberFormat="1" applyFont="1" applyFill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2" fillId="0" borderId="7" xfId="0" applyFont="1" applyBorder="1" applyAlignment="1">
      <alignment/>
    </xf>
    <xf numFmtId="0" fontId="1" fillId="0" borderId="6" xfId="0" applyFont="1" applyFill="1" applyBorder="1" applyAlignment="1">
      <alignment horizontal="center"/>
    </xf>
    <xf numFmtId="184" fontId="3" fillId="0" borderId="6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0" xfId="0" applyFont="1" applyFill="1" applyBorder="1" applyAlignment="1">
      <alignment/>
    </xf>
    <xf numFmtId="184" fontId="1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4" fontId="1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/>
    </xf>
    <xf numFmtId="18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183" fontId="1" fillId="0" borderId="0" xfId="19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83" fontId="3" fillId="0" borderId="0" xfId="19" applyNumberFormat="1" applyFont="1" applyFill="1" applyAlignment="1">
      <alignment/>
    </xf>
    <xf numFmtId="184" fontId="3" fillId="0" borderId="0" xfId="18" applyNumberFormat="1" applyFont="1" applyFill="1" applyAlignment="1">
      <alignment/>
    </xf>
    <xf numFmtId="0" fontId="3" fillId="0" borderId="0" xfId="0" applyFont="1" applyFill="1" applyAlignment="1">
      <alignment vertical="top"/>
    </xf>
    <xf numFmtId="1" fontId="2" fillId="0" borderId="0" xfId="0" applyNumberFormat="1" applyFont="1" applyAlignment="1">
      <alignment/>
    </xf>
    <xf numFmtId="194" fontId="2" fillId="0" borderId="0" xfId="15" applyNumberFormat="1" applyFont="1" applyAlignment="1">
      <alignment horizontal="left" indent="1"/>
    </xf>
    <xf numFmtId="1" fontId="4" fillId="0" borderId="0" xfId="0" applyNumberFormat="1" applyFont="1" applyAlignment="1">
      <alignment/>
    </xf>
    <xf numFmtId="183" fontId="4" fillId="0" borderId="0" xfId="19" applyNumberFormat="1" applyFont="1" applyAlignment="1">
      <alignment/>
    </xf>
    <xf numFmtId="183" fontId="4" fillId="0" borderId="2" xfId="19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</cellXfs>
  <cellStyles count="9">
    <cellStyle name="Normal" xfId="0"/>
    <cellStyle name="Comma" xfId="15"/>
    <cellStyle name="Migliaia (0)_Bilancio Azienda 4278" xfId="16"/>
    <cellStyle name="Comma [0]" xfId="17"/>
    <cellStyle name="Migliaia_Bilancio Azienda 4278" xfId="18"/>
    <cellStyle name="Percent" xfId="19"/>
    <cellStyle name="Currency" xfId="20"/>
    <cellStyle name="Valuta (0)_Bilancio Azienda 4278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Break even analysis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5"/>
          <c:y val="0.16725"/>
          <c:w val="0.61975"/>
          <c:h val="0.70825"/>
        </c:manualLayout>
      </c:layout>
      <c:lineChart>
        <c:grouping val="standard"/>
        <c:varyColors val="0"/>
        <c:ser>
          <c:idx val="1"/>
          <c:order val="0"/>
          <c:tx>
            <c:strRef>
              <c:f>'Break even'!$C$3</c:f>
              <c:strCache>
                <c:ptCount val="1"/>
                <c:pt idx="0">
                  <c:v>Ricavo totale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even'!$A$4:$A$13</c:f>
              <c:numCache/>
            </c:numRef>
          </c:cat>
          <c:val>
            <c:numRef>
              <c:f>'Break even'!$C$4:$C$13</c:f>
              <c:numCache/>
            </c:numRef>
          </c:val>
          <c:smooth val="0"/>
        </c:ser>
        <c:ser>
          <c:idx val="2"/>
          <c:order val="1"/>
          <c:tx>
            <c:strRef>
              <c:f>'Break even'!$D$3</c:f>
              <c:strCache>
                <c:ptCount val="1"/>
                <c:pt idx="0">
                  <c:v>Costi fissi totali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even'!$A$4:$A$13</c:f>
              <c:numCache/>
            </c:numRef>
          </c:cat>
          <c:val>
            <c:numRef>
              <c:f>'Break even'!$D$4:$D$13</c:f>
              <c:numCache/>
            </c:numRef>
          </c:val>
          <c:smooth val="0"/>
        </c:ser>
        <c:ser>
          <c:idx val="4"/>
          <c:order val="2"/>
          <c:tx>
            <c:strRef>
              <c:f>'Break even'!$F$3</c:f>
              <c:strCache>
                <c:ptCount val="1"/>
                <c:pt idx="0">
                  <c:v>Costi variabili totali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even'!$A$4:$A$13</c:f>
              <c:numCache/>
            </c:numRef>
          </c:cat>
          <c:val>
            <c:numRef>
              <c:f>'Break even'!$F$4:$F$13</c:f>
              <c:numCache/>
            </c:numRef>
          </c:val>
          <c:smooth val="0"/>
        </c:ser>
        <c:ser>
          <c:idx val="5"/>
          <c:order val="3"/>
          <c:tx>
            <c:strRef>
              <c:f>'Break even'!$G$3</c:f>
              <c:strCache>
                <c:ptCount val="1"/>
                <c:pt idx="0">
                  <c:v>Costi totali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'Break even'!$A$4:$A$13</c:f>
              <c:numCache/>
            </c:numRef>
          </c:cat>
          <c:val>
            <c:numRef>
              <c:f>'Break even'!$G$4:$G$13</c:f>
              <c:numCache/>
            </c:numRef>
          </c:val>
          <c:smooth val="0"/>
        </c:ser>
        <c:axId val="41060930"/>
        <c:axId val="34004051"/>
      </c:lineChart>
      <c:catAx>
        <c:axId val="4106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Quantità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004051"/>
        <c:crosses val="autoZero"/>
        <c:auto val="0"/>
        <c:lblOffset val="100"/>
        <c:noMultiLvlLbl val="0"/>
      </c:catAx>
      <c:valAx>
        <c:axId val="340040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Costi e ricavi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106093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76200</xdr:rowOff>
    </xdr:from>
    <xdr:to>
      <xdr:col>7</xdr:col>
      <xdr:colOff>276225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133350" y="2857500"/>
        <a:ext cx="4743450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7109375" style="4" customWidth="1"/>
    <col min="2" max="2" width="13.00390625" style="4" customWidth="1"/>
    <col min="3" max="3" width="11.8515625" style="4" customWidth="1"/>
    <col min="4" max="4" width="13.421875" style="4" customWidth="1"/>
    <col min="5" max="5" width="7.28125" style="4" customWidth="1"/>
    <col min="6" max="6" width="30.7109375" style="4" customWidth="1"/>
    <col min="7" max="16384" width="12.7109375" style="4" customWidth="1"/>
  </cols>
  <sheetData>
    <row r="1" spans="1:7" s="62" customFormat="1" ht="18">
      <c r="A1" s="60" t="s">
        <v>169</v>
      </c>
      <c r="B1" s="60"/>
      <c r="C1" s="60"/>
      <c r="D1" s="61"/>
      <c r="E1" s="60"/>
      <c r="F1" s="60"/>
      <c r="G1" s="60"/>
    </row>
    <row r="2" spans="1:7" ht="15">
      <c r="A2" s="14"/>
      <c r="B2" s="14"/>
      <c r="C2" s="14"/>
      <c r="D2" s="14"/>
      <c r="E2" s="14"/>
      <c r="F2" s="14"/>
      <c r="G2" s="14"/>
    </row>
    <row r="3" spans="1:7" ht="24.75" customHeight="1">
      <c r="A3" s="63" t="s">
        <v>139</v>
      </c>
      <c r="B3" s="63"/>
      <c r="C3" s="64"/>
      <c r="D3" s="64"/>
      <c r="E3" s="64"/>
      <c r="F3" s="63" t="s">
        <v>140</v>
      </c>
      <c r="G3" s="63"/>
    </row>
    <row r="4" spans="1:8" ht="15.75">
      <c r="A4" s="5" t="s">
        <v>141</v>
      </c>
      <c r="B4" s="66">
        <v>26</v>
      </c>
      <c r="C4" s="14"/>
      <c r="D4" s="14"/>
      <c r="E4" s="14"/>
      <c r="F4" s="5" t="s">
        <v>142</v>
      </c>
      <c r="G4" s="6">
        <v>45</v>
      </c>
      <c r="H4" s="65"/>
    </row>
    <row r="5" spans="1:8" ht="15.75">
      <c r="A5" s="5" t="s">
        <v>143</v>
      </c>
      <c r="B5" s="66">
        <v>17</v>
      </c>
      <c r="C5" s="14"/>
      <c r="D5" s="14"/>
      <c r="E5" s="14"/>
      <c r="F5" s="5" t="s">
        <v>144</v>
      </c>
      <c r="G5" s="6">
        <v>31</v>
      </c>
      <c r="H5" s="65"/>
    </row>
    <row r="6" spans="1:8" ht="15.75">
      <c r="A6" s="5" t="s">
        <v>145</v>
      </c>
      <c r="B6" s="66">
        <f>+B4-B5</f>
        <v>9</v>
      </c>
      <c r="C6" s="67"/>
      <c r="D6" s="14"/>
      <c r="E6" s="14"/>
      <c r="F6" s="5" t="s">
        <v>146</v>
      </c>
      <c r="G6" s="6">
        <v>146.5</v>
      </c>
      <c r="H6" s="68"/>
    </row>
    <row r="7" spans="1:8" ht="15.75">
      <c r="A7" s="5" t="s">
        <v>147</v>
      </c>
      <c r="B7" s="66">
        <v>1.52</v>
      </c>
      <c r="C7" s="14"/>
      <c r="D7" s="14"/>
      <c r="E7" s="14"/>
      <c r="F7" s="5" t="s">
        <v>148</v>
      </c>
      <c r="G7" s="78">
        <f>+G6/G5*1000</f>
        <v>4725.806451612903</v>
      </c>
      <c r="H7" s="70"/>
    </row>
    <row r="8" spans="1:7" ht="15.75">
      <c r="A8" s="5" t="s">
        <v>149</v>
      </c>
      <c r="B8" s="71">
        <v>3680</v>
      </c>
      <c r="C8" s="14"/>
      <c r="D8" s="14"/>
      <c r="E8" s="14"/>
      <c r="F8" s="14"/>
      <c r="G8" s="14"/>
    </row>
    <row r="9" spans="1:7" ht="15.75">
      <c r="A9" s="14"/>
      <c r="B9" s="14"/>
      <c r="C9" s="14"/>
      <c r="D9" s="14"/>
      <c r="E9" s="14"/>
      <c r="F9" s="72" t="s">
        <v>150</v>
      </c>
      <c r="G9" s="72"/>
    </row>
    <row r="10" spans="1:8" ht="15.75">
      <c r="A10" s="73" t="s">
        <v>151</v>
      </c>
      <c r="B10" s="73" t="s">
        <v>152</v>
      </c>
      <c r="C10" s="73" t="s">
        <v>153</v>
      </c>
      <c r="D10" s="5" t="s">
        <v>154</v>
      </c>
      <c r="E10" s="14"/>
      <c r="F10" s="5" t="s">
        <v>155</v>
      </c>
      <c r="G10" s="6">
        <f>+B16/B18*100</f>
        <v>33.69938229238161</v>
      </c>
      <c r="H10" s="68"/>
    </row>
    <row r="11" spans="1:8" ht="15.75">
      <c r="A11" s="5" t="s">
        <v>156</v>
      </c>
      <c r="B11" s="66">
        <v>1</v>
      </c>
      <c r="C11" s="6">
        <f>+D11/B11</f>
        <v>30</v>
      </c>
      <c r="D11" s="71">
        <v>30</v>
      </c>
      <c r="E11" s="14"/>
      <c r="F11" s="5" t="s">
        <v>157</v>
      </c>
      <c r="G11" s="71">
        <f>+B18/G4</f>
        <v>3237.777777777778</v>
      </c>
      <c r="H11" s="70"/>
    </row>
    <row r="12" spans="1:8" ht="15.75">
      <c r="A12" s="5" t="s">
        <v>172</v>
      </c>
      <c r="B12" s="66">
        <v>6</v>
      </c>
      <c r="C12" s="6">
        <f>+D12/B12</f>
        <v>25</v>
      </c>
      <c r="D12" s="71">
        <v>150</v>
      </c>
      <c r="E12" s="14"/>
      <c r="F12" s="5" t="s">
        <v>158</v>
      </c>
      <c r="G12" s="71">
        <f>+B16/B15</f>
        <v>2045.8333333333333</v>
      </c>
      <c r="H12" s="70"/>
    </row>
    <row r="13" spans="1:8" ht="15.75">
      <c r="A13" s="5" t="s">
        <v>171</v>
      </c>
      <c r="B13" s="66">
        <v>4</v>
      </c>
      <c r="C13" s="6">
        <f>+D13/B13</f>
        <v>10</v>
      </c>
      <c r="D13" s="71">
        <v>40</v>
      </c>
      <c r="E13" s="14"/>
      <c r="F13" s="5" t="s">
        <v>159</v>
      </c>
      <c r="G13" s="66">
        <f>+G4/B15</f>
        <v>1.875</v>
      </c>
      <c r="H13" s="74"/>
    </row>
    <row r="14" spans="1:8" ht="15.75">
      <c r="A14" s="5" t="s">
        <v>170</v>
      </c>
      <c r="B14" s="66">
        <v>13</v>
      </c>
      <c r="C14" s="6">
        <f>+D14/B14</f>
        <v>5</v>
      </c>
      <c r="D14" s="71">
        <v>65</v>
      </c>
      <c r="E14" s="14"/>
      <c r="F14" s="5" t="s">
        <v>160</v>
      </c>
      <c r="G14" s="66">
        <f>+G5/B15</f>
        <v>1.2916666666666667</v>
      </c>
      <c r="H14" s="74"/>
    </row>
    <row r="15" spans="1:8" ht="15.75">
      <c r="A15" s="5" t="s">
        <v>161</v>
      </c>
      <c r="B15" s="66">
        <f>SUM(B11:B14)</f>
        <v>24</v>
      </c>
      <c r="C15" s="69"/>
      <c r="D15" s="5"/>
      <c r="E15" s="14"/>
      <c r="F15" s="5" t="s">
        <v>162</v>
      </c>
      <c r="G15" s="66">
        <f>+G6/B15</f>
        <v>6.104166666666667</v>
      </c>
      <c r="H15" s="74"/>
    </row>
    <row r="16" spans="1:8" ht="15.75">
      <c r="A16" s="5" t="s">
        <v>163</v>
      </c>
      <c r="B16" s="71">
        <f>+D11*220+D12*120+D13*450+D14*100</f>
        <v>49100</v>
      </c>
      <c r="C16" s="69"/>
      <c r="D16" s="5"/>
      <c r="E16" s="14"/>
      <c r="F16" s="5" t="s">
        <v>164</v>
      </c>
      <c r="G16" s="6">
        <f>+B$8/B15</f>
        <v>153.33333333333334</v>
      </c>
      <c r="H16" s="68"/>
    </row>
    <row r="17" spans="1:8" ht="15.75">
      <c r="A17" s="5" t="s">
        <v>165</v>
      </c>
      <c r="B17" s="71">
        <v>96600</v>
      </c>
      <c r="C17" s="69"/>
      <c r="D17" s="5"/>
      <c r="E17" s="14"/>
      <c r="F17" s="5" t="s">
        <v>166</v>
      </c>
      <c r="G17" s="6">
        <f>+B$8/G5</f>
        <v>118.70967741935483</v>
      </c>
      <c r="H17" s="68"/>
    </row>
    <row r="18" spans="1:8" ht="15.75">
      <c r="A18" s="9" t="s">
        <v>167</v>
      </c>
      <c r="B18" s="75">
        <f>+B17+B16</f>
        <v>145700</v>
      </c>
      <c r="C18" s="76"/>
      <c r="D18" s="9"/>
      <c r="E18" s="77"/>
      <c r="F18" s="9" t="s">
        <v>168</v>
      </c>
      <c r="G18" s="11">
        <f>+B$8/G6</f>
        <v>25.119453924914676</v>
      </c>
      <c r="H18" s="68"/>
    </row>
    <row r="19" spans="1:7" ht="15">
      <c r="A19" s="13"/>
      <c r="B19" s="13"/>
      <c r="C19" s="13"/>
      <c r="D19" s="13"/>
      <c r="E19" s="13"/>
      <c r="F19" s="13"/>
      <c r="G19" s="13"/>
    </row>
    <row r="20" spans="1:4" ht="15">
      <c r="A20" s="65"/>
      <c r="B20" s="65"/>
      <c r="C20" s="65"/>
      <c r="D20" s="65"/>
    </row>
    <row r="21" spans="1:4" ht="15">
      <c r="A21" s="65"/>
      <c r="B21" s="74"/>
      <c r="C21" s="70"/>
      <c r="D21" s="65"/>
    </row>
    <row r="22" spans="1:4" ht="15">
      <c r="A22" s="65"/>
      <c r="B22" s="74"/>
      <c r="C22" s="70"/>
      <c r="D22" s="65"/>
    </row>
    <row r="23" spans="1:4" ht="15">
      <c r="A23" s="65"/>
      <c r="B23" s="74"/>
      <c r="C23" s="70"/>
      <c r="D23" s="65"/>
    </row>
    <row r="24" spans="1:4" ht="15">
      <c r="A24" s="65"/>
      <c r="B24" s="74"/>
      <c r="C24" s="70"/>
      <c r="D24" s="65"/>
    </row>
    <row r="25" spans="1:4" ht="15">
      <c r="A25" s="65"/>
      <c r="B25" s="74"/>
      <c r="C25" s="70"/>
      <c r="D25" s="65"/>
    </row>
    <row r="26" spans="1:4" ht="15">
      <c r="A26" s="65"/>
      <c r="B26" s="70"/>
      <c r="C26" s="70"/>
      <c r="D26" s="65"/>
    </row>
    <row r="27" spans="1:4" ht="15">
      <c r="A27" s="65"/>
      <c r="B27" s="70"/>
      <c r="C27" s="70"/>
      <c r="D27" s="65"/>
    </row>
    <row r="28" spans="1:4" ht="15">
      <c r="A28" s="65"/>
      <c r="B28" s="70"/>
      <c r="C28" s="70"/>
      <c r="D28" s="65"/>
    </row>
  </sheetData>
  <printOptions horizontalCentered="1" verticalCentered="1"/>
  <pageMargins left="0.7874015748031497" right="0.7874015748031497" top="1.1811023622047245" bottom="1.1811023622047245" header="0.5118110236220472" footer="0.5118110236220472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25" customWidth="1"/>
    <col min="2" max="2" width="21.28125" style="4" customWidth="1"/>
    <col min="3" max="3" width="26.57421875" style="4" customWidth="1"/>
    <col min="4" max="5" width="13.8515625" style="4" customWidth="1"/>
    <col min="6" max="16384" width="9.140625" style="4" customWidth="1"/>
  </cols>
  <sheetData>
    <row r="1" spans="2:5" ht="22.5" customHeight="1">
      <c r="B1" s="1" t="s">
        <v>342</v>
      </c>
      <c r="C1" s="5"/>
      <c r="D1" s="5"/>
      <c r="E1" s="5"/>
    </row>
    <row r="2" spans="1:5" ht="19.5" customHeight="1">
      <c r="A2" s="17"/>
      <c r="B2" s="17"/>
      <c r="C2" s="17"/>
      <c r="D2" s="19" t="s">
        <v>114</v>
      </c>
      <c r="E2" s="19" t="s">
        <v>115</v>
      </c>
    </row>
    <row r="3" spans="1:5" ht="15.75" customHeight="1">
      <c r="A3" s="34"/>
      <c r="B3" s="35" t="s">
        <v>4</v>
      </c>
      <c r="C3" s="35" t="s">
        <v>349</v>
      </c>
      <c r="D3" s="51">
        <v>45822.64</v>
      </c>
      <c r="E3" s="39"/>
    </row>
    <row r="4" spans="1:5" ht="15.75" customHeight="1">
      <c r="A4" s="34"/>
      <c r="B4" s="35" t="s">
        <v>64</v>
      </c>
      <c r="C4" s="35" t="s">
        <v>350</v>
      </c>
      <c r="D4" s="51">
        <v>5887.61</v>
      </c>
      <c r="E4" s="39"/>
    </row>
    <row r="5" spans="1:5" ht="15.75" customHeight="1">
      <c r="A5" s="34"/>
      <c r="B5" s="35" t="s">
        <v>5</v>
      </c>
      <c r="C5" s="35" t="s">
        <v>351</v>
      </c>
      <c r="D5" s="51">
        <v>10303.32</v>
      </c>
      <c r="E5" s="39"/>
    </row>
    <row r="6" spans="1:5" ht="15.75" customHeight="1">
      <c r="A6" s="34"/>
      <c r="B6" s="35" t="s">
        <v>65</v>
      </c>
      <c r="C6" s="35" t="s">
        <v>352</v>
      </c>
      <c r="D6" s="51">
        <v>2169.12</v>
      </c>
      <c r="E6" s="39"/>
    </row>
    <row r="7" spans="1:5" ht="15.75" customHeight="1">
      <c r="A7" s="34"/>
      <c r="B7" s="35" t="s">
        <v>6</v>
      </c>
      <c r="C7" s="35" t="s">
        <v>404</v>
      </c>
      <c r="D7" s="51">
        <v>1263</v>
      </c>
      <c r="E7" s="39"/>
    </row>
    <row r="8" spans="1:5" ht="15.75">
      <c r="A8" s="32" t="s">
        <v>121</v>
      </c>
      <c r="B8" s="17" t="s">
        <v>10</v>
      </c>
      <c r="C8" s="17"/>
      <c r="D8" s="43"/>
      <c r="E8" s="33">
        <f>SUM(D3:D7)</f>
        <v>65445.69</v>
      </c>
    </row>
    <row r="9" spans="1:5" ht="15.75">
      <c r="A9" s="28"/>
      <c r="B9" s="41" t="s">
        <v>22</v>
      </c>
      <c r="C9" s="29"/>
      <c r="D9" s="50">
        <v>278.89</v>
      </c>
      <c r="E9" s="42"/>
    </row>
    <row r="10" spans="1:5" ht="15.75">
      <c r="A10" s="34"/>
      <c r="B10" s="35" t="s">
        <v>81</v>
      </c>
      <c r="C10" s="36"/>
      <c r="D10" s="51">
        <v>347.06</v>
      </c>
      <c r="E10" s="39"/>
    </row>
    <row r="11" spans="1:5" ht="15.75">
      <c r="A11" s="34"/>
      <c r="B11" s="35" t="s">
        <v>82</v>
      </c>
      <c r="C11" s="36"/>
      <c r="D11" s="51">
        <v>77.47</v>
      </c>
      <c r="E11" s="39"/>
    </row>
    <row r="12" spans="1:5" ht="15.75">
      <c r="A12" s="34"/>
      <c r="B12" s="35" t="s">
        <v>24</v>
      </c>
      <c r="C12" s="36"/>
      <c r="D12" s="51">
        <v>0</v>
      </c>
      <c r="E12" s="39"/>
    </row>
    <row r="13" spans="1:5" ht="15.75">
      <c r="A13" s="34"/>
      <c r="B13" s="35" t="s">
        <v>83</v>
      </c>
      <c r="C13" s="36"/>
      <c r="D13" s="51">
        <v>13324.59</v>
      </c>
      <c r="E13" s="39"/>
    </row>
    <row r="14" spans="1:5" ht="15.75">
      <c r="A14" s="34"/>
      <c r="B14" s="35" t="s">
        <v>84</v>
      </c>
      <c r="C14" s="36"/>
      <c r="D14" s="51">
        <v>9993.44</v>
      </c>
      <c r="E14" s="39"/>
    </row>
    <row r="15" spans="1:5" ht="15.75">
      <c r="A15" s="34"/>
      <c r="B15" s="35" t="s">
        <v>85</v>
      </c>
      <c r="C15" s="36"/>
      <c r="D15" s="51">
        <v>1136.2</v>
      </c>
      <c r="E15" s="39"/>
    </row>
    <row r="16" spans="1:5" ht="15.75">
      <c r="A16" s="34"/>
      <c r="B16" s="35" t="s">
        <v>25</v>
      </c>
      <c r="C16" s="36"/>
      <c r="D16" s="51">
        <v>547.44</v>
      </c>
      <c r="E16" s="39"/>
    </row>
    <row r="17" spans="1:5" ht="15.75">
      <c r="A17" s="34"/>
      <c r="B17" s="35" t="s">
        <v>86</v>
      </c>
      <c r="C17" s="36"/>
      <c r="D17" s="51">
        <v>2695.91</v>
      </c>
      <c r="E17" s="39"/>
    </row>
    <row r="18" spans="1:5" ht="15.75">
      <c r="A18" s="34"/>
      <c r="B18" s="35" t="s">
        <v>87</v>
      </c>
      <c r="C18" s="36"/>
      <c r="D18" s="51">
        <v>795.35</v>
      </c>
      <c r="E18" s="39"/>
    </row>
    <row r="19" spans="1:5" ht="15.75">
      <c r="A19" s="44" t="s">
        <v>116</v>
      </c>
      <c r="B19" s="45" t="s">
        <v>88</v>
      </c>
      <c r="C19" s="45"/>
      <c r="D19" s="52"/>
      <c r="E19" s="46">
        <f>SUM(D9:D18)</f>
        <v>29196.35</v>
      </c>
    </row>
    <row r="20" spans="1:5" ht="15.75">
      <c r="A20" s="28"/>
      <c r="B20" s="41" t="s">
        <v>353</v>
      </c>
      <c r="C20" s="29"/>
      <c r="D20" s="50">
        <v>551.06</v>
      </c>
      <c r="E20" s="42"/>
    </row>
    <row r="21" spans="1:5" ht="15.75">
      <c r="A21" s="34"/>
      <c r="B21" s="35" t="s">
        <v>354</v>
      </c>
      <c r="C21" s="36"/>
      <c r="D21" s="51">
        <v>3511.91</v>
      </c>
      <c r="E21" s="39"/>
    </row>
    <row r="22" spans="1:5" ht="15.75">
      <c r="A22" s="34"/>
      <c r="B22" s="35" t="s">
        <v>355</v>
      </c>
      <c r="C22" s="36"/>
      <c r="D22" s="51">
        <v>275.27</v>
      </c>
      <c r="E22" s="39"/>
    </row>
    <row r="23" spans="1:5" ht="15.75">
      <c r="A23" s="34"/>
      <c r="B23" s="35" t="s">
        <v>92</v>
      </c>
      <c r="C23" s="36"/>
      <c r="D23" s="51">
        <v>2107.14</v>
      </c>
      <c r="E23" s="39"/>
    </row>
    <row r="24" spans="1:5" ht="15.75">
      <c r="A24" s="34"/>
      <c r="B24" s="35" t="s">
        <v>93</v>
      </c>
      <c r="C24" s="36"/>
      <c r="D24" s="51">
        <f>+D23/3</f>
        <v>702.38</v>
      </c>
      <c r="E24" s="39"/>
    </row>
    <row r="25" spans="1:5" ht="15.75">
      <c r="A25" s="44" t="s">
        <v>117</v>
      </c>
      <c r="B25" s="45" t="s">
        <v>96</v>
      </c>
      <c r="C25" s="45"/>
      <c r="D25" s="53"/>
      <c r="E25" s="46">
        <f>SUM(D20:D24)</f>
        <v>7147.759999999999</v>
      </c>
    </row>
    <row r="26" spans="1:5" ht="15.75">
      <c r="A26" s="28"/>
      <c r="B26" s="41" t="s">
        <v>43</v>
      </c>
      <c r="C26" s="29"/>
      <c r="D26" s="50">
        <v>206.58</v>
      </c>
      <c r="E26" s="42"/>
    </row>
    <row r="27" spans="1:5" ht="15.75">
      <c r="A27" s="34"/>
      <c r="B27" s="35" t="s">
        <v>94</v>
      </c>
      <c r="C27" s="36"/>
      <c r="D27" s="51">
        <f>+(E8-D7)*0.02</f>
        <v>1283.6538</v>
      </c>
      <c r="E27" s="39"/>
    </row>
    <row r="28" spans="1:5" ht="15.75">
      <c r="A28" s="34"/>
      <c r="B28" s="35" t="s">
        <v>95</v>
      </c>
      <c r="C28" s="36"/>
      <c r="D28" s="51">
        <f>+(E8-D7-E19-E25-D26-D27-D40-D44)*0.019</f>
        <v>471.6711278000001</v>
      </c>
      <c r="E28" s="39"/>
    </row>
    <row r="29" spans="1:5" ht="15.75">
      <c r="A29" s="44" t="s">
        <v>118</v>
      </c>
      <c r="B29" s="45" t="s">
        <v>97</v>
      </c>
      <c r="C29" s="45"/>
      <c r="D29" s="53"/>
      <c r="E29" s="46">
        <f>SUM(D26:D28)</f>
        <v>1961.9049278</v>
      </c>
    </row>
    <row r="30" spans="1:5" ht="15.75">
      <c r="A30" s="32" t="s">
        <v>119</v>
      </c>
      <c r="B30" s="17" t="s">
        <v>71</v>
      </c>
      <c r="C30" s="17"/>
      <c r="D30" s="54"/>
      <c r="E30" s="33">
        <f>+E29+E25+E19</f>
        <v>38306.014927799995</v>
      </c>
    </row>
    <row r="31" spans="1:5" ht="15.75">
      <c r="A31" s="32" t="s">
        <v>120</v>
      </c>
      <c r="B31" s="17" t="s">
        <v>98</v>
      </c>
      <c r="C31" s="47"/>
      <c r="D31" s="54"/>
      <c r="E31" s="33">
        <f>+E8-E30</f>
        <v>27139.675072200007</v>
      </c>
    </row>
    <row r="32" spans="1:5" ht="15.75">
      <c r="A32" s="28"/>
      <c r="B32" s="41" t="s">
        <v>99</v>
      </c>
      <c r="C32" s="30"/>
      <c r="D32" s="50">
        <v>0</v>
      </c>
      <c r="E32" s="42"/>
    </row>
    <row r="33" spans="1:5" ht="15.75">
      <c r="A33" s="34"/>
      <c r="B33" s="35" t="s">
        <v>100</v>
      </c>
      <c r="C33" s="38"/>
      <c r="D33" s="51">
        <v>0</v>
      </c>
      <c r="E33" s="39"/>
    </row>
    <row r="34" spans="1:5" ht="15.75">
      <c r="A34" s="34"/>
      <c r="B34" s="35" t="s">
        <v>101</v>
      </c>
      <c r="C34" s="38"/>
      <c r="D34" s="51">
        <v>0</v>
      </c>
      <c r="E34" s="39"/>
    </row>
    <row r="35" spans="1:5" ht="15.75">
      <c r="A35" s="34"/>
      <c r="B35" s="35" t="s">
        <v>102</v>
      </c>
      <c r="C35" s="38"/>
      <c r="D35" s="51">
        <v>24560</v>
      </c>
      <c r="E35" s="39"/>
    </row>
    <row r="36" spans="1:5" ht="15.75">
      <c r="A36" s="34"/>
      <c r="B36" s="35" t="s">
        <v>103</v>
      </c>
      <c r="C36" s="38"/>
      <c r="D36" s="51">
        <v>2324.05</v>
      </c>
      <c r="E36" s="39"/>
    </row>
    <row r="37" spans="1:5" ht="15.75">
      <c r="A37" s="44" t="s">
        <v>123</v>
      </c>
      <c r="B37" s="45" t="s">
        <v>122</v>
      </c>
      <c r="C37" s="48"/>
      <c r="D37" s="52"/>
      <c r="E37" s="46">
        <f>SUM(D32:D36)</f>
        <v>26884.05</v>
      </c>
    </row>
    <row r="38" spans="1:5" ht="15.75">
      <c r="A38" s="32" t="s">
        <v>124</v>
      </c>
      <c r="B38" s="17" t="s">
        <v>105</v>
      </c>
      <c r="C38" s="17"/>
      <c r="D38" s="54"/>
      <c r="E38" s="33"/>
    </row>
    <row r="39" spans="1:5" ht="15.75">
      <c r="A39" s="28"/>
      <c r="B39" s="41" t="s">
        <v>58</v>
      </c>
      <c r="C39" s="29"/>
      <c r="D39" s="50">
        <v>0</v>
      </c>
      <c r="E39" s="42"/>
    </row>
    <row r="40" spans="1:5" ht="15.75">
      <c r="A40" s="34"/>
      <c r="B40" s="35" t="s">
        <v>59</v>
      </c>
      <c r="C40" s="36"/>
      <c r="D40" s="51">
        <v>180.76</v>
      </c>
      <c r="E40" s="39"/>
    </row>
    <row r="41" spans="1:5" ht="15.75">
      <c r="A41" s="34"/>
      <c r="B41" s="35" t="s">
        <v>61</v>
      </c>
      <c r="C41" s="36"/>
      <c r="D41" s="51">
        <v>3578.013</v>
      </c>
      <c r="E41" s="39"/>
    </row>
    <row r="42" spans="1:5" ht="15.75">
      <c r="A42" s="44" t="s">
        <v>104</v>
      </c>
      <c r="B42" s="45" t="s">
        <v>73</v>
      </c>
      <c r="C42" s="45"/>
      <c r="D42" s="52"/>
      <c r="E42" s="46">
        <f>SUM(D39:D41)</f>
        <v>3758.773</v>
      </c>
    </row>
    <row r="43" spans="1:5" ht="15.75">
      <c r="A43" s="28"/>
      <c r="B43" s="41" t="s">
        <v>107</v>
      </c>
      <c r="C43" s="29"/>
      <c r="D43" s="50">
        <v>2014.18</v>
      </c>
      <c r="E43" s="42"/>
    </row>
    <row r="44" spans="1:5" ht="15.75">
      <c r="A44" s="34"/>
      <c r="B44" s="35" t="s">
        <v>106</v>
      </c>
      <c r="C44" s="36"/>
      <c r="D44" s="51">
        <v>1342.79</v>
      </c>
      <c r="E44" s="39"/>
    </row>
    <row r="45" spans="1:5" ht="15.75">
      <c r="A45" s="44" t="s">
        <v>125</v>
      </c>
      <c r="B45" s="45" t="s">
        <v>74</v>
      </c>
      <c r="C45" s="45"/>
      <c r="D45" s="53"/>
      <c r="E45" s="46">
        <f>+D43+D44</f>
        <v>3356.9700000000003</v>
      </c>
    </row>
    <row r="46" spans="1:5" ht="15.75">
      <c r="A46" s="28" t="s">
        <v>126</v>
      </c>
      <c r="B46" s="29" t="s">
        <v>76</v>
      </c>
      <c r="C46" s="29"/>
      <c r="D46" s="55"/>
      <c r="E46" s="31">
        <f>+E37+E38+E42+E45</f>
        <v>33999.793</v>
      </c>
    </row>
    <row r="47" spans="1:5" ht="15.75">
      <c r="A47" s="34" t="s">
        <v>128</v>
      </c>
      <c r="B47" s="36" t="s">
        <v>108</v>
      </c>
      <c r="C47" s="38"/>
      <c r="D47" s="56"/>
      <c r="E47" s="37">
        <f>+D32+D33+D34+D36+D39+D40+D44</f>
        <v>3847.6000000000004</v>
      </c>
    </row>
    <row r="48" spans="1:5" ht="15.75">
      <c r="A48" s="44" t="s">
        <v>129</v>
      </c>
      <c r="B48" s="45" t="s">
        <v>109</v>
      </c>
      <c r="C48" s="48"/>
      <c r="D48" s="52"/>
      <c r="E48" s="46">
        <f>+D35+E38+D41+D43</f>
        <v>30152.193</v>
      </c>
    </row>
    <row r="49" spans="1:5" ht="15.75">
      <c r="A49" s="32" t="s">
        <v>138</v>
      </c>
      <c r="B49" s="17" t="s">
        <v>111</v>
      </c>
      <c r="C49" s="47"/>
      <c r="D49" s="54"/>
      <c r="E49" s="33">
        <f>+E31-E47</f>
        <v>23292.07507220001</v>
      </c>
    </row>
    <row r="50" spans="1:5" ht="15.75">
      <c r="A50" s="32" t="s">
        <v>130</v>
      </c>
      <c r="B50" s="17" t="s">
        <v>112</v>
      </c>
      <c r="C50" s="47"/>
      <c r="D50" s="54"/>
      <c r="E50" s="33">
        <f>+E31-E42-E45</f>
        <v>20023.932072200005</v>
      </c>
    </row>
    <row r="51" spans="1:5" ht="15.75">
      <c r="A51" s="26" t="s">
        <v>131</v>
      </c>
      <c r="B51" s="9" t="s">
        <v>113</v>
      </c>
      <c r="C51" s="27"/>
      <c r="D51" s="57"/>
      <c r="E51" s="21">
        <f>+E50-D32-D33-D34</f>
        <v>20023.932072200005</v>
      </c>
    </row>
    <row r="52" spans="1:5" ht="15.75">
      <c r="A52" s="26" t="s">
        <v>400</v>
      </c>
      <c r="B52" s="17" t="s">
        <v>402</v>
      </c>
      <c r="C52" s="27"/>
      <c r="D52" s="57"/>
      <c r="E52" s="21">
        <f>+E31-E37-E45</f>
        <v>-3101.3449277999925</v>
      </c>
    </row>
    <row r="53" spans="1:5" ht="15.75">
      <c r="A53" s="26" t="s">
        <v>401</v>
      </c>
      <c r="B53" s="17" t="s">
        <v>403</v>
      </c>
      <c r="C53" s="27"/>
      <c r="D53" s="57"/>
      <c r="E53" s="21">
        <f>+E31-E37-E42</f>
        <v>-3503.1479277999924</v>
      </c>
    </row>
    <row r="54" spans="1:5" ht="15.75">
      <c r="A54" s="26" t="s">
        <v>132</v>
      </c>
      <c r="B54" s="9" t="s">
        <v>110</v>
      </c>
      <c r="C54" s="27"/>
      <c r="D54" s="57"/>
      <c r="E54" s="21">
        <f>+E31-E46</f>
        <v>-6860.117927799991</v>
      </c>
    </row>
    <row r="55" spans="2:5" ht="15.75">
      <c r="B55" s="5"/>
      <c r="C55" s="5"/>
      <c r="D55" s="15"/>
      <c r="E55" s="20"/>
    </row>
    <row r="56" spans="1:5" ht="15.75">
      <c r="A56" s="25" t="s">
        <v>133</v>
      </c>
      <c r="B56" s="5"/>
      <c r="C56" s="5" t="s">
        <v>301</v>
      </c>
      <c r="D56" s="15"/>
      <c r="E56" s="20">
        <f>+E30+E46</f>
        <v>72305.8079278</v>
      </c>
    </row>
    <row r="57" spans="1:5" ht="15.75">
      <c r="A57" s="25" t="s">
        <v>135</v>
      </c>
      <c r="B57" s="5"/>
      <c r="C57" s="5" t="s">
        <v>11</v>
      </c>
      <c r="D57" s="15"/>
      <c r="E57" s="20">
        <f>+E25+D26+E37+E38+D39+E45</f>
        <v>37595.36</v>
      </c>
    </row>
    <row r="58" spans="1:5" ht="15.75">
      <c r="A58" s="25" t="s">
        <v>134</v>
      </c>
      <c r="B58" s="5"/>
      <c r="C58" s="5" t="s">
        <v>12</v>
      </c>
      <c r="D58" s="15"/>
      <c r="E58" s="20">
        <f>+E56-E57</f>
        <v>34710.44792779999</v>
      </c>
    </row>
    <row r="59" spans="1:5" ht="15.75">
      <c r="A59" s="25" t="s">
        <v>137</v>
      </c>
      <c r="B59" s="5"/>
      <c r="C59" s="5" t="s">
        <v>13</v>
      </c>
      <c r="D59" s="15"/>
      <c r="E59" s="20">
        <f>+E30+E47</f>
        <v>42153.614927799994</v>
      </c>
    </row>
    <row r="60" spans="1:5" ht="15.75">
      <c r="A60" s="26" t="s">
        <v>136</v>
      </c>
      <c r="B60" s="9"/>
      <c r="C60" s="9" t="s">
        <v>14</v>
      </c>
      <c r="D60" s="58"/>
      <c r="E60" s="21">
        <f>+E48</f>
        <v>30152.193</v>
      </c>
    </row>
    <row r="61" spans="2:5" ht="15.75">
      <c r="B61" s="13"/>
      <c r="C61" s="14"/>
      <c r="D61" s="14"/>
      <c r="E61" s="15"/>
    </row>
    <row r="62" spans="2:5" ht="15.75">
      <c r="B62" s="13"/>
      <c r="C62" s="14"/>
      <c r="D62" s="14"/>
      <c r="E62" s="14"/>
    </row>
    <row r="63" spans="2:5" ht="15.75">
      <c r="B63" s="13"/>
      <c r="C63" s="14"/>
      <c r="D63" s="14"/>
      <c r="E63" s="14"/>
    </row>
    <row r="64" spans="2:5" ht="22.5" customHeight="1">
      <c r="B64"/>
      <c r="C64"/>
      <c r="D64"/>
      <c r="E64"/>
    </row>
    <row r="65" spans="2:5" ht="19.5" customHeight="1">
      <c r="B65"/>
      <c r="C65"/>
      <c r="D65"/>
      <c r="E65"/>
    </row>
    <row r="66" spans="2:5" ht="15.75">
      <c r="B66"/>
      <c r="C66"/>
      <c r="D66"/>
      <c r="E66"/>
    </row>
    <row r="67" spans="2:5" ht="15.75">
      <c r="B67"/>
      <c r="C67"/>
      <c r="D67"/>
      <c r="E67"/>
    </row>
    <row r="68" spans="2:5" ht="15.75">
      <c r="B68"/>
      <c r="C68"/>
      <c r="D68"/>
      <c r="E68"/>
    </row>
    <row r="69" spans="2:5" ht="15.75">
      <c r="B69"/>
      <c r="C69"/>
      <c r="D69"/>
      <c r="E69"/>
    </row>
    <row r="70" spans="2:5" ht="15.75">
      <c r="B70"/>
      <c r="C70"/>
      <c r="D70"/>
      <c r="E70"/>
    </row>
    <row r="71" spans="2:5" ht="15.75">
      <c r="B71"/>
      <c r="C71"/>
      <c r="D71"/>
      <c r="E71"/>
    </row>
    <row r="72" spans="2:5" ht="15.75">
      <c r="B72"/>
      <c r="C72"/>
      <c r="D72"/>
      <c r="E72"/>
    </row>
    <row r="73" spans="2:5" ht="15.75">
      <c r="B73"/>
      <c r="C73"/>
      <c r="D73"/>
      <c r="E73"/>
    </row>
    <row r="74" spans="2:5" ht="15.75">
      <c r="B74"/>
      <c r="C74"/>
      <c r="D74"/>
      <c r="E74"/>
    </row>
    <row r="75" spans="2:5" ht="15.75">
      <c r="B75"/>
      <c r="C75"/>
      <c r="D75"/>
      <c r="E75"/>
    </row>
    <row r="76" spans="2:5" ht="15.75">
      <c r="B76"/>
      <c r="C76"/>
      <c r="D76"/>
      <c r="E76"/>
    </row>
    <row r="77" spans="2:5" ht="15.75">
      <c r="B77"/>
      <c r="C77"/>
      <c r="D77"/>
      <c r="E77"/>
    </row>
    <row r="78" spans="2:5" ht="15.75">
      <c r="B78"/>
      <c r="C78"/>
      <c r="D78"/>
      <c r="E78"/>
    </row>
    <row r="79" spans="2:5" ht="15.75">
      <c r="B79"/>
      <c r="C79"/>
      <c r="D79"/>
      <c r="E79"/>
    </row>
    <row r="80" spans="2:5" ht="15.75">
      <c r="B80"/>
      <c r="C80"/>
      <c r="D80"/>
      <c r="E80"/>
    </row>
    <row r="81" spans="2:5" ht="15.75">
      <c r="B81"/>
      <c r="C81"/>
      <c r="D81"/>
      <c r="E81"/>
    </row>
    <row r="82" spans="2:5" ht="15.75">
      <c r="B82"/>
      <c r="C82"/>
      <c r="D82"/>
      <c r="E82"/>
    </row>
    <row r="83" spans="2:5" ht="15.75">
      <c r="B83"/>
      <c r="C83"/>
      <c r="D83"/>
      <c r="E83"/>
    </row>
    <row r="84" spans="2:5" ht="15.75">
      <c r="B84"/>
      <c r="C84"/>
      <c r="D84"/>
      <c r="E84"/>
    </row>
    <row r="85" spans="2:5" ht="15.75">
      <c r="B85"/>
      <c r="C85"/>
      <c r="D85"/>
      <c r="E85"/>
    </row>
    <row r="86" spans="2:5" ht="15.75">
      <c r="B86"/>
      <c r="C86"/>
      <c r="D86"/>
      <c r="E86"/>
    </row>
    <row r="87" spans="2:5" ht="15.75">
      <c r="B87"/>
      <c r="C87"/>
      <c r="D87"/>
      <c r="E87"/>
    </row>
    <row r="88" spans="2:5" ht="15.75">
      <c r="B88"/>
      <c r="C88"/>
      <c r="D88"/>
      <c r="E88"/>
    </row>
    <row r="89" spans="2:5" ht="15.75">
      <c r="B89"/>
      <c r="C89"/>
      <c r="D89"/>
      <c r="E89"/>
    </row>
    <row r="90" spans="2:5" ht="15.75">
      <c r="B90"/>
      <c r="C90"/>
      <c r="D90"/>
      <c r="E90"/>
    </row>
    <row r="91" spans="2:5" ht="15.75">
      <c r="B91"/>
      <c r="C91"/>
      <c r="D91"/>
      <c r="E91"/>
    </row>
    <row r="92" spans="2:5" ht="15.75">
      <c r="B92"/>
      <c r="C92"/>
      <c r="D92"/>
      <c r="E92"/>
    </row>
    <row r="93" spans="2:5" ht="15.75">
      <c r="B93"/>
      <c r="C93"/>
      <c r="D93"/>
      <c r="E93"/>
    </row>
    <row r="94" spans="2:5" ht="15.75">
      <c r="B94"/>
      <c r="C94"/>
      <c r="D94"/>
      <c r="E94"/>
    </row>
    <row r="95" spans="2:5" ht="15.75">
      <c r="B95"/>
      <c r="C95"/>
      <c r="D95"/>
      <c r="E95"/>
    </row>
    <row r="96" spans="2:5" ht="15.75">
      <c r="B96"/>
      <c r="C96"/>
      <c r="D96"/>
      <c r="E96"/>
    </row>
    <row r="97" spans="2:5" ht="15.75">
      <c r="B97"/>
      <c r="C97"/>
      <c r="D97"/>
      <c r="E97"/>
    </row>
    <row r="98" spans="2:5" ht="15.75">
      <c r="B98"/>
      <c r="C98"/>
      <c r="D98"/>
      <c r="E98"/>
    </row>
    <row r="99" spans="2:5" ht="15.75">
      <c r="B99"/>
      <c r="C99"/>
      <c r="D99"/>
      <c r="E99"/>
    </row>
    <row r="100" spans="2:5" ht="15.75">
      <c r="B100"/>
      <c r="C100"/>
      <c r="D100"/>
      <c r="E100"/>
    </row>
    <row r="101" spans="2:5" ht="15.75">
      <c r="B101"/>
      <c r="C101"/>
      <c r="D101"/>
      <c r="E101"/>
    </row>
    <row r="102" spans="2:5" ht="15.75">
      <c r="B102"/>
      <c r="C102"/>
      <c r="D102"/>
      <c r="E102"/>
    </row>
    <row r="103" spans="2:5" ht="15.75">
      <c r="B103"/>
      <c r="C103"/>
      <c r="D103"/>
      <c r="E103"/>
    </row>
    <row r="104" spans="2:5" ht="15.75">
      <c r="B104"/>
      <c r="C104"/>
      <c r="D104"/>
      <c r="E104"/>
    </row>
    <row r="105" spans="2:5" ht="15.75">
      <c r="B105"/>
      <c r="C105"/>
      <c r="D105"/>
      <c r="E105"/>
    </row>
    <row r="106" spans="2:8" ht="15.75">
      <c r="B106"/>
      <c r="C106"/>
      <c r="D106"/>
      <c r="E106"/>
      <c r="H106" s="22"/>
    </row>
    <row r="107" spans="2:5" ht="15.75">
      <c r="B107"/>
      <c r="C107"/>
      <c r="D107"/>
      <c r="E107"/>
    </row>
    <row r="108" spans="2:5" ht="15.75">
      <c r="B108"/>
      <c r="C108"/>
      <c r="D108"/>
      <c r="E108"/>
    </row>
    <row r="109" spans="2:5" ht="15.75">
      <c r="B109"/>
      <c r="C109"/>
      <c r="D109"/>
      <c r="E109"/>
    </row>
    <row r="110" spans="2:5" ht="15.75">
      <c r="B110"/>
      <c r="C110"/>
      <c r="D110"/>
      <c r="E110"/>
    </row>
    <row r="111" spans="2:5" ht="15.75">
      <c r="B111"/>
      <c r="C111"/>
      <c r="D111"/>
      <c r="E111"/>
    </row>
    <row r="112" spans="2:5" ht="15.75">
      <c r="B112"/>
      <c r="C112"/>
      <c r="D112"/>
      <c r="E112"/>
    </row>
    <row r="113" spans="2:6" ht="15.75">
      <c r="B113"/>
      <c r="C113"/>
      <c r="D113"/>
      <c r="E113"/>
      <c r="F113" s="24"/>
    </row>
    <row r="114" spans="2:6" ht="15.75">
      <c r="B114"/>
      <c r="C114"/>
      <c r="D114"/>
      <c r="E114"/>
      <c r="F114" s="24"/>
    </row>
    <row r="115" spans="2:6" ht="15.75">
      <c r="B115"/>
      <c r="C115"/>
      <c r="D115"/>
      <c r="E115"/>
      <c r="F115" s="24"/>
    </row>
    <row r="116" spans="2:5" ht="15.75">
      <c r="B116"/>
      <c r="C116"/>
      <c r="D116"/>
      <c r="E116"/>
    </row>
    <row r="117" spans="2:7" ht="15.75">
      <c r="B117"/>
      <c r="C117"/>
      <c r="D117"/>
      <c r="E117"/>
      <c r="G117" s="24"/>
    </row>
    <row r="118" spans="2:5" ht="15.75">
      <c r="B118"/>
      <c r="C118"/>
      <c r="D118"/>
      <c r="E118"/>
    </row>
    <row r="119" spans="2:5" ht="15.75">
      <c r="B119"/>
      <c r="C119"/>
      <c r="D119"/>
      <c r="E119"/>
    </row>
    <row r="120" spans="2:5" ht="15.75">
      <c r="B120"/>
      <c r="C120"/>
      <c r="D120"/>
      <c r="E120"/>
    </row>
    <row r="121" spans="2:5" ht="15.75">
      <c r="B121"/>
      <c r="C121"/>
      <c r="D121"/>
      <c r="E121"/>
    </row>
    <row r="122" spans="2:5" ht="15.75">
      <c r="B122"/>
      <c r="C122"/>
      <c r="D122"/>
      <c r="E122"/>
    </row>
    <row r="123" spans="2:5" ht="15.75">
      <c r="B123"/>
      <c r="C123"/>
      <c r="D123"/>
      <c r="E123"/>
    </row>
    <row r="124" spans="2:5" ht="15.75">
      <c r="B124"/>
      <c r="C124"/>
      <c r="D124"/>
      <c r="E124"/>
    </row>
    <row r="125" spans="2:5" ht="15.75">
      <c r="B125"/>
      <c r="C125"/>
      <c r="D125"/>
      <c r="E125"/>
    </row>
  </sheetData>
  <printOptions horizontalCentered="1" verticalCentered="1"/>
  <pageMargins left="0.7874015748031497" right="0.7874015748031497" top="0.5511811023622047" bottom="0.5118110236220472" header="0.5118110236220472" footer="0.5118110236220472"/>
  <pageSetup fitToHeight="1" fitToWidth="1" horizontalDpi="300" verticalDpi="3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1" sqref="A1"/>
    </sheetView>
  </sheetViews>
  <sheetFormatPr defaultColWidth="9.140625" defaultRowHeight="12.75"/>
  <cols>
    <col min="1" max="1" width="43.00390625" style="0" bestFit="1" customWidth="1"/>
    <col min="2" max="3" width="11.00390625" style="0" customWidth="1"/>
    <col min="4" max="4" width="16.28125" style="0" customWidth="1"/>
  </cols>
  <sheetData>
    <row r="1" ht="18">
      <c r="A1" s="101" t="s">
        <v>319</v>
      </c>
    </row>
    <row r="3" spans="1:4" ht="15.75">
      <c r="A3" s="110" t="s">
        <v>303</v>
      </c>
      <c r="B3" s="110" t="s">
        <v>304</v>
      </c>
      <c r="C3" s="110" t="s">
        <v>305</v>
      </c>
      <c r="D3" s="110" t="s">
        <v>356</v>
      </c>
    </row>
    <row r="4" spans="1:4" ht="15">
      <c r="A4" s="14" t="s">
        <v>141</v>
      </c>
      <c r="B4" s="67">
        <v>26</v>
      </c>
      <c r="C4" s="67">
        <v>11.8</v>
      </c>
      <c r="D4" s="127">
        <f>+B4/C4*100</f>
        <v>220.33898305084745</v>
      </c>
    </row>
    <row r="5" spans="1:4" ht="15">
      <c r="A5" s="14" t="s">
        <v>318</v>
      </c>
      <c r="B5" s="67">
        <v>24</v>
      </c>
      <c r="C5" s="67">
        <v>8.69</v>
      </c>
      <c r="D5" s="127">
        <f aca="true" t="shared" si="0" ref="D5:D19">+B5/C5*100</f>
        <v>276.1795166858458</v>
      </c>
    </row>
    <row r="6" spans="1:4" ht="15">
      <c r="A6" s="14" t="s">
        <v>147</v>
      </c>
      <c r="B6" s="67">
        <v>1.52</v>
      </c>
      <c r="C6" s="67">
        <v>2.68</v>
      </c>
      <c r="D6" s="127">
        <f t="shared" si="0"/>
        <v>56.71641791044776</v>
      </c>
    </row>
    <row r="7" spans="1:4" ht="15">
      <c r="A7" s="14" t="s">
        <v>149</v>
      </c>
      <c r="B7" s="105">
        <v>3680</v>
      </c>
      <c r="C7" s="105">
        <v>4526</v>
      </c>
      <c r="D7" s="127">
        <f t="shared" si="0"/>
        <v>81.30799823243481</v>
      </c>
    </row>
    <row r="8" spans="1:4" ht="15">
      <c r="A8" s="14" t="s">
        <v>142</v>
      </c>
      <c r="B8" s="106">
        <v>45</v>
      </c>
      <c r="C8" s="106">
        <v>47.5</v>
      </c>
      <c r="D8" s="127">
        <f t="shared" si="0"/>
        <v>94.73684210526315</v>
      </c>
    </row>
    <row r="9" spans="1:4" ht="15">
      <c r="A9" s="14" t="s">
        <v>144</v>
      </c>
      <c r="B9" s="106">
        <v>31</v>
      </c>
      <c r="C9" s="106">
        <v>35.7</v>
      </c>
      <c r="D9" s="127">
        <f t="shared" si="0"/>
        <v>86.83473389355741</v>
      </c>
    </row>
    <row r="10" spans="1:4" ht="15">
      <c r="A10" s="14" t="s">
        <v>146</v>
      </c>
      <c r="B10" s="106">
        <v>146.5</v>
      </c>
      <c r="C10" s="106">
        <v>187.2</v>
      </c>
      <c r="D10" s="127">
        <f t="shared" si="0"/>
        <v>78.25854700854701</v>
      </c>
    </row>
    <row r="11" spans="1:4" ht="15">
      <c r="A11" s="14" t="s">
        <v>148</v>
      </c>
      <c r="B11" s="107">
        <f>+B10/B9*1000</f>
        <v>4725.806451612903</v>
      </c>
      <c r="C11" s="107">
        <f>+C10/C9*1000</f>
        <v>5243.697478991596</v>
      </c>
      <c r="D11" s="127">
        <f t="shared" si="0"/>
        <v>90.12355252274608</v>
      </c>
    </row>
    <row r="12" spans="1:2" ht="15">
      <c r="A12" s="14"/>
      <c r="B12" s="14"/>
    </row>
    <row r="13" spans="1:4" ht="15">
      <c r="A13" s="14" t="s">
        <v>160</v>
      </c>
      <c r="B13" s="67">
        <f>+B9/B5</f>
        <v>1.2916666666666667</v>
      </c>
      <c r="C13" s="67">
        <f>+C9/C5</f>
        <v>4.108170310701957</v>
      </c>
      <c r="D13" s="127">
        <f t="shared" si="0"/>
        <v>31.44140989729225</v>
      </c>
    </row>
    <row r="14" spans="1:4" ht="15">
      <c r="A14" s="14" t="s">
        <v>162</v>
      </c>
      <c r="B14" s="67">
        <f>+B10/B5</f>
        <v>6.104166666666667</v>
      </c>
      <c r="C14" s="67">
        <f>+C10/C5</f>
        <v>21.542002301495973</v>
      </c>
      <c r="D14" s="127">
        <f t="shared" si="0"/>
        <v>28.33611556267806</v>
      </c>
    </row>
    <row r="15" spans="1:4" ht="15">
      <c r="A15" s="14" t="s">
        <v>326</v>
      </c>
      <c r="B15" s="67">
        <f>+B8/B6</f>
        <v>29.605263157894736</v>
      </c>
      <c r="C15" s="67">
        <f>+C8/C6</f>
        <v>17.723880597014926</v>
      </c>
      <c r="D15" s="127">
        <f t="shared" si="0"/>
        <v>167.0360110803324</v>
      </c>
    </row>
    <row r="16" spans="1:4" ht="15">
      <c r="A16" s="14" t="s">
        <v>327</v>
      </c>
      <c r="B16" s="67">
        <f>+B4/B6</f>
        <v>17.105263157894736</v>
      </c>
      <c r="C16" s="67">
        <f>+C4/C6</f>
        <v>4.402985074626866</v>
      </c>
      <c r="D16" s="127">
        <f t="shared" si="0"/>
        <v>388.49241748438897</v>
      </c>
    </row>
    <row r="17" spans="1:4" ht="15">
      <c r="A17" s="14" t="s">
        <v>164</v>
      </c>
      <c r="B17" s="106">
        <f>+B7/B4</f>
        <v>141.53846153846155</v>
      </c>
      <c r="C17" s="106">
        <f>+C7/C4</f>
        <v>383.5593220338983</v>
      </c>
      <c r="D17" s="127">
        <f t="shared" si="0"/>
        <v>36.90132227472042</v>
      </c>
    </row>
    <row r="18" spans="1:4" ht="15">
      <c r="A18" s="14" t="s">
        <v>166</v>
      </c>
      <c r="B18" s="106">
        <f>+B7/B9</f>
        <v>118.70967741935483</v>
      </c>
      <c r="C18" s="106">
        <f>+C7/C9</f>
        <v>126.77871148459383</v>
      </c>
      <c r="D18" s="127">
        <f t="shared" si="0"/>
        <v>93.635339899933</v>
      </c>
    </row>
    <row r="19" spans="1:4" ht="15">
      <c r="A19" s="77" t="s">
        <v>168</v>
      </c>
      <c r="B19" s="108">
        <f>+B7/B10</f>
        <v>25.119453924914676</v>
      </c>
      <c r="C19" s="108">
        <f>+C7/C10</f>
        <v>24.17735042735043</v>
      </c>
      <c r="D19" s="128">
        <f t="shared" si="0"/>
        <v>103.89663664922728</v>
      </c>
    </row>
    <row r="20" ht="18">
      <c r="A20" s="101"/>
    </row>
    <row r="21" ht="18">
      <c r="A21" s="101"/>
    </row>
    <row r="22" ht="18">
      <c r="A22" s="101" t="s">
        <v>302</v>
      </c>
    </row>
    <row r="23" spans="1:5" ht="15">
      <c r="A23" s="4"/>
      <c r="B23" s="4"/>
      <c r="C23" s="4"/>
      <c r="D23" s="4"/>
      <c r="E23" s="4"/>
    </row>
    <row r="24" spans="1:5" ht="15.75">
      <c r="A24" s="110" t="s">
        <v>303</v>
      </c>
      <c r="B24" s="110" t="s">
        <v>304</v>
      </c>
      <c r="C24" s="110" t="s">
        <v>305</v>
      </c>
      <c r="D24" s="110" t="s">
        <v>356</v>
      </c>
      <c r="E24" s="4"/>
    </row>
    <row r="25" spans="1:5" ht="15">
      <c r="A25" s="4" t="s">
        <v>308</v>
      </c>
      <c r="B25" s="104">
        <f>65446/26</f>
        <v>2517.153846153846</v>
      </c>
      <c r="C25" s="104">
        <v>6542.475997665615</v>
      </c>
      <c r="D25" s="127">
        <f>+B25/C25*100</f>
        <v>38.47402492652595</v>
      </c>
      <c r="E25" s="4"/>
    </row>
    <row r="26" spans="1:5" ht="15">
      <c r="A26" s="4" t="s">
        <v>307</v>
      </c>
      <c r="B26" s="104">
        <f>38306/26</f>
        <v>1473.3076923076924</v>
      </c>
      <c r="C26" s="104">
        <v>3531.0158190748193</v>
      </c>
      <c r="D26" s="127">
        <f aca="true" t="shared" si="1" ref="D26:D37">+B26/C26*100</f>
        <v>41.72475479573812</v>
      </c>
      <c r="E26" s="4"/>
    </row>
    <row r="27" spans="1:5" ht="15">
      <c r="A27" s="4" t="s">
        <v>306</v>
      </c>
      <c r="B27" s="104">
        <f>+B25-B26</f>
        <v>1043.8461538461538</v>
      </c>
      <c r="C27" s="104">
        <f>+C25-C26</f>
        <v>3011.4601785907957</v>
      </c>
      <c r="D27" s="127">
        <f t="shared" si="1"/>
        <v>34.66245913750115</v>
      </c>
      <c r="E27" s="4"/>
    </row>
    <row r="28" spans="1:5" ht="15">
      <c r="A28" s="4" t="s">
        <v>309</v>
      </c>
      <c r="B28" s="104">
        <f>3848/26</f>
        <v>148</v>
      </c>
      <c r="C28" s="104">
        <v>679.1408223026748</v>
      </c>
      <c r="D28" s="127">
        <f t="shared" si="1"/>
        <v>21.79224030418251</v>
      </c>
      <c r="E28" s="4"/>
    </row>
    <row r="29" spans="1:5" ht="15">
      <c r="A29" s="4" t="s">
        <v>310</v>
      </c>
      <c r="B29" s="104">
        <f>+B27-B28</f>
        <v>895.8461538461538</v>
      </c>
      <c r="C29" s="104">
        <f>+C27-C28</f>
        <v>2332.319356288121</v>
      </c>
      <c r="D29" s="127">
        <f t="shared" si="1"/>
        <v>38.410098146760234</v>
      </c>
      <c r="E29" s="4"/>
    </row>
    <row r="30" spans="1:5" ht="15">
      <c r="A30" s="4" t="s">
        <v>311</v>
      </c>
      <c r="B30" s="104">
        <f>20024/26</f>
        <v>770.1538461538462</v>
      </c>
      <c r="C30" s="104">
        <v>1616.5100941500928</v>
      </c>
      <c r="D30" s="127">
        <f t="shared" si="1"/>
        <v>47.64299641189481</v>
      </c>
      <c r="E30" s="4"/>
    </row>
    <row r="31" spans="1:5" ht="15">
      <c r="A31" s="4"/>
      <c r="B31" s="4"/>
      <c r="C31" s="4"/>
      <c r="D31" s="127"/>
      <c r="E31" s="4"/>
    </row>
    <row r="32" spans="1:5" ht="15">
      <c r="A32" s="4" t="s">
        <v>315</v>
      </c>
      <c r="B32" s="104">
        <f>65446/1.52</f>
        <v>43056.57894736842</v>
      </c>
      <c r="C32" s="104">
        <v>28795.05440873432</v>
      </c>
      <c r="D32" s="127">
        <f t="shared" si="1"/>
        <v>149.52768741533683</v>
      </c>
      <c r="E32" s="4"/>
    </row>
    <row r="33" spans="1:5" ht="15">
      <c r="A33" s="4" t="s">
        <v>314</v>
      </c>
      <c r="B33" s="104">
        <f>38306/1.52</f>
        <v>25201.315789473683</v>
      </c>
      <c r="C33" s="104">
        <f>+C32-C34</f>
        <v>15540.188093602648</v>
      </c>
      <c r="D33" s="127">
        <f t="shared" si="1"/>
        <v>162.16866641304156</v>
      </c>
      <c r="E33" s="4"/>
    </row>
    <row r="34" spans="1:5" ht="15">
      <c r="A34" s="4" t="s">
        <v>312</v>
      </c>
      <c r="B34" s="104">
        <f>+B32-B33</f>
        <v>17855.263157894737</v>
      </c>
      <c r="C34" s="104">
        <v>13254.86631513167</v>
      </c>
      <c r="D34" s="127">
        <f t="shared" si="1"/>
        <v>134.70722928009678</v>
      </c>
      <c r="E34" s="4"/>
    </row>
    <row r="35" spans="1:5" ht="15">
      <c r="A35" s="4" t="s">
        <v>313</v>
      </c>
      <c r="B35" s="104">
        <f>3848/1.52</f>
        <v>2531.578947368421</v>
      </c>
      <c r="C35" s="104">
        <v>1543.7075341344607</v>
      </c>
      <c r="D35" s="127">
        <f t="shared" si="1"/>
        <v>163.99343084037275</v>
      </c>
      <c r="E35" s="4"/>
    </row>
    <row r="36" spans="1:4" ht="15">
      <c r="A36" s="4" t="s">
        <v>316</v>
      </c>
      <c r="B36" s="104">
        <f>+B34-B35</f>
        <v>15323.684210526317</v>
      </c>
      <c r="C36" s="104">
        <v>11643.520789972474</v>
      </c>
      <c r="D36" s="127">
        <f t="shared" si="1"/>
        <v>131.60696396680322</v>
      </c>
    </row>
    <row r="37" spans="1:4" ht="15">
      <c r="A37" s="27" t="s">
        <v>317</v>
      </c>
      <c r="B37" s="109">
        <f>20024/1.52</f>
        <v>13173.684210526315</v>
      </c>
      <c r="C37" s="109">
        <v>8069.122591374137</v>
      </c>
      <c r="D37" s="128">
        <f t="shared" si="1"/>
        <v>163.26042963591775</v>
      </c>
    </row>
    <row r="39" ht="18">
      <c r="A39" s="101" t="s">
        <v>320</v>
      </c>
    </row>
    <row r="40" spans="1:3" ht="15">
      <c r="A40" s="4"/>
      <c r="B40" s="4"/>
      <c r="C40" s="4"/>
    </row>
    <row r="41" spans="1:4" ht="15.75">
      <c r="A41" s="110" t="s">
        <v>303</v>
      </c>
      <c r="B41" s="110" t="s">
        <v>304</v>
      </c>
      <c r="C41" s="110" t="s">
        <v>305</v>
      </c>
      <c r="D41" s="110" t="s">
        <v>356</v>
      </c>
    </row>
    <row r="42" spans="1:4" ht="17.25" customHeight="1">
      <c r="A42" s="4" t="s">
        <v>321</v>
      </c>
      <c r="B42" s="111">
        <f>+B27/B25</f>
        <v>0.414693029367723</v>
      </c>
      <c r="C42" s="111">
        <f>+C27/C25</f>
        <v>0.46029365329965266</v>
      </c>
      <c r="D42" s="127">
        <f>+B42/C42*100</f>
        <v>90.09314519002427</v>
      </c>
    </row>
    <row r="43" spans="1:4" ht="17.25" customHeight="1">
      <c r="A43" s="4" t="s">
        <v>322</v>
      </c>
      <c r="B43" s="111">
        <f>+B29/B25</f>
        <v>0.3558964642606118</v>
      </c>
      <c r="C43" s="111">
        <f>+C29/C25</f>
        <v>0.3564887906536154</v>
      </c>
      <c r="D43" s="127">
        <f>+B43/C43*100</f>
        <v>99.83384431473496</v>
      </c>
    </row>
    <row r="44" spans="1:4" ht="17.25" customHeight="1">
      <c r="A44" s="4" t="s">
        <v>323</v>
      </c>
      <c r="B44" s="111">
        <f>+B30/B25</f>
        <v>0.30596216728295084</v>
      </c>
      <c r="C44" s="111">
        <f>+C30/C25</f>
        <v>0.2470792548152826</v>
      </c>
      <c r="D44" s="127">
        <f>+B44/C44*100</f>
        <v>123.8315889821221</v>
      </c>
    </row>
    <row r="45" spans="1:4" ht="17.25" customHeight="1">
      <c r="A45" s="4" t="s">
        <v>324</v>
      </c>
      <c r="B45" s="111">
        <f>+B26/B25</f>
        <v>0.585306970632277</v>
      </c>
      <c r="C45" s="111">
        <f>+C26/C25</f>
        <v>0.5397063467003473</v>
      </c>
      <c r="D45" s="127">
        <f>+B45/C45*100</f>
        <v>108.44915465803253</v>
      </c>
    </row>
    <row r="46" spans="1:4" ht="17.25" customHeight="1">
      <c r="A46" s="27" t="s">
        <v>325</v>
      </c>
      <c r="B46" s="112">
        <f>+(B26+B28)/B25</f>
        <v>0.6441035357393882</v>
      </c>
      <c r="C46" s="112">
        <f>+(C26+C28)/C25</f>
        <v>0.6435112093463846</v>
      </c>
      <c r="D46" s="128">
        <f>+B46/C46*100</f>
        <v>100.09204601013946</v>
      </c>
    </row>
  </sheetData>
  <printOptions horizontalCentered="1" verticalCentered="1"/>
  <pageMargins left="0.58" right="0.65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1"/>
  <sheetViews>
    <sheetView workbookViewId="0" topLeftCell="A1">
      <selection activeCell="A1" sqref="A1"/>
    </sheetView>
  </sheetViews>
  <sheetFormatPr defaultColWidth="9.140625" defaultRowHeight="12.75"/>
  <cols>
    <col min="1" max="1" width="3.140625" style="4" customWidth="1"/>
    <col min="2" max="2" width="4.140625" style="4" customWidth="1"/>
    <col min="3" max="3" width="51.57421875" style="4" customWidth="1"/>
    <col min="4" max="6" width="12.7109375" style="4" customWidth="1"/>
    <col min="7" max="7" width="42.57421875" style="4" customWidth="1"/>
    <col min="8" max="8" width="13.00390625" style="4" customWidth="1"/>
    <col min="9" max="16384" width="9.140625" style="4" customWidth="1"/>
  </cols>
  <sheetData>
    <row r="1" ht="15.75">
      <c r="C1" s="79" t="s">
        <v>173</v>
      </c>
    </row>
    <row r="2" ht="15.75">
      <c r="C2" s="79"/>
    </row>
    <row r="3" spans="1:7" ht="15.75">
      <c r="A3" s="25" t="s">
        <v>174</v>
      </c>
      <c r="B3" s="25"/>
      <c r="C3" s="79"/>
      <c r="D3" s="79">
        <f>+D4+D14+D21+D23+D26</f>
        <v>65445.68513683526</v>
      </c>
      <c r="G3" s="80"/>
    </row>
    <row r="4" spans="2:5" ht="15.75">
      <c r="B4" s="81" t="s">
        <v>175</v>
      </c>
      <c r="C4" s="81"/>
      <c r="D4" s="79">
        <f>+D5+D7+D11</f>
        <v>61882.1325331178</v>
      </c>
      <c r="E4" s="80"/>
    </row>
    <row r="5" spans="2:5" ht="15.75">
      <c r="B5" s="25"/>
      <c r="C5" s="25" t="s">
        <v>176</v>
      </c>
      <c r="D5" s="79">
        <f>+D6</f>
        <v>2169.12</v>
      </c>
      <c r="E5" s="80"/>
    </row>
    <row r="6" spans="2:7" ht="15.75">
      <c r="B6" s="79"/>
      <c r="C6" s="82" t="s">
        <v>177</v>
      </c>
      <c r="D6" s="82">
        <f>+'Bilancio compilato'!D6</f>
        <v>2169.12</v>
      </c>
      <c r="E6" s="83"/>
      <c r="F6" s="82"/>
      <c r="G6" s="82"/>
    </row>
    <row r="7" spans="2:5" ht="15.75">
      <c r="B7" s="79"/>
      <c r="C7" s="25" t="s">
        <v>178</v>
      </c>
      <c r="D7" s="79">
        <f>+D8+D9+D10</f>
        <v>58450.0125331178</v>
      </c>
      <c r="E7" s="83"/>
    </row>
    <row r="8" spans="2:5" ht="15.75">
      <c r="B8" s="79"/>
      <c r="C8" s="82" t="s">
        <v>4</v>
      </c>
      <c r="D8" s="82">
        <f>+'Bilancio compilato'!D3</f>
        <v>45822.64</v>
      </c>
      <c r="E8" s="83"/>
    </row>
    <row r="9" spans="2:5" ht="15.75">
      <c r="B9" s="79"/>
      <c r="C9" s="82" t="s">
        <v>290</v>
      </c>
      <c r="D9" s="82">
        <f>+'Bilancio compilato'!D4</f>
        <v>5887.61</v>
      </c>
      <c r="E9" s="83"/>
    </row>
    <row r="10" spans="2:5" ht="15.75">
      <c r="B10" s="79"/>
      <c r="C10" s="82" t="s">
        <v>179</v>
      </c>
      <c r="D10" s="82">
        <v>6739.762533117799</v>
      </c>
      <c r="E10" s="82"/>
    </row>
    <row r="11" spans="3:4" ht="15.75">
      <c r="C11" s="25" t="s">
        <v>180</v>
      </c>
      <c r="D11" s="79">
        <f>+D12</f>
        <v>1263</v>
      </c>
    </row>
    <row r="12" spans="3:4" ht="15">
      <c r="C12" s="82" t="s">
        <v>6</v>
      </c>
      <c r="D12" s="82">
        <f>+'Bilancio compilato'!D7</f>
        <v>1263</v>
      </c>
    </row>
    <row r="13" spans="3:6" ht="15.75">
      <c r="C13" s="25"/>
      <c r="D13" s="79"/>
      <c r="E13" s="4" t="s">
        <v>181</v>
      </c>
      <c r="F13" s="4" t="s">
        <v>182</v>
      </c>
    </row>
    <row r="14" spans="2:6" ht="15">
      <c r="B14" s="81" t="s">
        <v>183</v>
      </c>
      <c r="C14" s="84"/>
      <c r="D14" s="85">
        <f>+D15+D18</f>
        <v>3563.552603717457</v>
      </c>
      <c r="E14" s="85">
        <f>+E15+E18</f>
        <v>39870.472609708355</v>
      </c>
      <c r="F14" s="85">
        <f>+F15+F18</f>
        <v>36306.9200059909</v>
      </c>
    </row>
    <row r="15" spans="2:6" ht="15.75">
      <c r="B15" s="25"/>
      <c r="C15" s="25" t="s">
        <v>184</v>
      </c>
      <c r="D15" s="86">
        <f>+E15-F15</f>
        <v>0</v>
      </c>
      <c r="E15" s="86">
        <f>SUM(E16:E17)</f>
        <v>2530.6388055384837</v>
      </c>
      <c r="F15" s="86">
        <f>SUM(F16:F17)</f>
        <v>2530.6388055384837</v>
      </c>
    </row>
    <row r="16" spans="2:6" ht="15.75">
      <c r="B16" s="25"/>
      <c r="C16" s="87" t="s">
        <v>347</v>
      </c>
      <c r="D16" s="88">
        <f>+E16-F16</f>
        <v>0</v>
      </c>
      <c r="E16" s="88">
        <v>2065.827596357946</v>
      </c>
      <c r="F16" s="88">
        <v>2065.827596357946</v>
      </c>
    </row>
    <row r="17" spans="2:6" ht="15.75">
      <c r="B17" s="25"/>
      <c r="C17" s="89" t="s">
        <v>348</v>
      </c>
      <c r="D17" s="88">
        <f>+E17-F17</f>
        <v>0</v>
      </c>
      <c r="E17" s="88">
        <v>464.81120918053784</v>
      </c>
      <c r="F17" s="88">
        <v>464.81120918053784</v>
      </c>
    </row>
    <row r="18" spans="2:6" ht="15.75">
      <c r="B18" s="25"/>
      <c r="C18" s="90" t="s">
        <v>185</v>
      </c>
      <c r="D18" s="86">
        <f>SUM(D19:D20)</f>
        <v>3563.552603717457</v>
      </c>
      <c r="E18" s="86">
        <f>SUM(E19:E20)</f>
        <v>37339.83380416987</v>
      </c>
      <c r="F18" s="86">
        <f>SUM(F19:F20)</f>
        <v>33776.28120045242</v>
      </c>
    </row>
    <row r="19" spans="2:7" ht="15.75">
      <c r="B19" s="25"/>
      <c r="C19" s="87" t="s">
        <v>186</v>
      </c>
      <c r="D19" s="88">
        <f>+E19-F19</f>
        <v>3563.552603717457</v>
      </c>
      <c r="E19" s="88">
        <v>37081.60535462513</v>
      </c>
      <c r="F19" s="88">
        <v>33518.05275090767</v>
      </c>
      <c r="G19" s="59"/>
    </row>
    <row r="20" spans="2:6" ht="15.75">
      <c r="B20" s="25"/>
      <c r="C20" s="87" t="s">
        <v>187</v>
      </c>
      <c r="D20" s="88">
        <f>+E20-F20</f>
        <v>0</v>
      </c>
      <c r="E20" s="88">
        <v>258.2284495447432</v>
      </c>
      <c r="F20" s="88">
        <v>258.2284495447432</v>
      </c>
    </row>
    <row r="21" spans="2:4" ht="15">
      <c r="B21" s="81" t="s">
        <v>188</v>
      </c>
      <c r="C21" s="84"/>
      <c r="D21" s="85">
        <f>+D22</f>
        <v>0</v>
      </c>
    </row>
    <row r="22" spans="2:6" ht="15.75">
      <c r="B22" s="90"/>
      <c r="C22" s="25" t="s">
        <v>405</v>
      </c>
      <c r="D22" s="86">
        <f>+E22-F22</f>
        <v>0</v>
      </c>
      <c r="E22" s="86">
        <v>0</v>
      </c>
      <c r="F22" s="86">
        <v>0</v>
      </c>
    </row>
    <row r="23" spans="2:4" ht="15">
      <c r="B23" s="81" t="s">
        <v>189</v>
      </c>
      <c r="C23" s="84"/>
      <c r="D23" s="85">
        <v>0</v>
      </c>
    </row>
    <row r="24" spans="2:4" ht="15.75">
      <c r="B24" s="25"/>
      <c r="C24" s="90" t="s">
        <v>190</v>
      </c>
      <c r="D24" s="86">
        <v>0</v>
      </c>
    </row>
    <row r="25" spans="2:4" ht="15.75">
      <c r="B25" s="25"/>
      <c r="C25" s="90" t="s">
        <v>191</v>
      </c>
      <c r="D25" s="86">
        <v>0</v>
      </c>
    </row>
    <row r="26" spans="2:4" ht="15">
      <c r="B26" s="81" t="s">
        <v>192</v>
      </c>
      <c r="C26" s="84"/>
      <c r="D26" s="85">
        <v>0</v>
      </c>
    </row>
    <row r="27" spans="3:4" ht="15.75">
      <c r="C27" s="25"/>
      <c r="D27" s="79"/>
    </row>
    <row r="28" spans="1:6" ht="15.75">
      <c r="A28" s="25" t="s">
        <v>193</v>
      </c>
      <c r="B28" s="25"/>
      <c r="C28" s="25"/>
      <c r="D28" s="86">
        <f>+D29+D49+D68+D73+D80+D87+D99+D100+D101</f>
        <v>40010.94986799362</v>
      </c>
      <c r="E28" s="88"/>
      <c r="F28" s="88"/>
    </row>
    <row r="29" spans="1:4" ht="15">
      <c r="A29" s="84"/>
      <c r="B29" s="81" t="s">
        <v>194</v>
      </c>
      <c r="C29" s="84"/>
      <c r="D29" s="85">
        <f>+D30+D35+D46</f>
        <v>25880.69383061247</v>
      </c>
    </row>
    <row r="30" spans="1:5" ht="15.75">
      <c r="A30" s="25"/>
      <c r="B30" s="25"/>
      <c r="C30" s="25" t="s">
        <v>195</v>
      </c>
      <c r="D30" s="86">
        <f>SUM(D31:D34)</f>
        <v>703.4200000000001</v>
      </c>
      <c r="E30" s="88"/>
    </row>
    <row r="31" spans="1:5" ht="15.75">
      <c r="A31" s="25"/>
      <c r="B31" s="25"/>
      <c r="C31" s="87" t="s">
        <v>22</v>
      </c>
      <c r="D31" s="88">
        <f>+'Bilancio compilato'!D9</f>
        <v>278.89</v>
      </c>
      <c r="E31" s="88"/>
    </row>
    <row r="32" spans="1:5" ht="15.75">
      <c r="A32" s="25"/>
      <c r="B32" s="25"/>
      <c r="C32" s="87" t="s">
        <v>81</v>
      </c>
      <c r="D32" s="88">
        <f>+'Bilancio compilato'!D10</f>
        <v>347.06</v>
      </c>
      <c r="E32" s="88"/>
    </row>
    <row r="33" spans="1:4" ht="15.75">
      <c r="A33" s="25"/>
      <c r="B33" s="25"/>
      <c r="C33" s="4" t="s">
        <v>24</v>
      </c>
      <c r="D33" s="88">
        <f>+'Bilancio compilato'!D11</f>
        <v>77.47</v>
      </c>
    </row>
    <row r="34" spans="1:4" ht="15.75">
      <c r="A34" s="25"/>
      <c r="B34" s="25"/>
      <c r="C34" s="87" t="s">
        <v>196</v>
      </c>
      <c r="D34" s="88">
        <v>0</v>
      </c>
    </row>
    <row r="35" spans="1:5" ht="15.75">
      <c r="A35" s="25"/>
      <c r="B35" s="25"/>
      <c r="C35" s="90" t="s">
        <v>197</v>
      </c>
      <c r="D35" s="86">
        <f>SUM(D36,D41:D45)</f>
        <v>24041.068652615595</v>
      </c>
      <c r="E35" s="88"/>
    </row>
    <row r="36" spans="1:5" ht="15.75">
      <c r="A36" s="25"/>
      <c r="B36" s="25"/>
      <c r="C36" s="87" t="s">
        <v>198</v>
      </c>
      <c r="D36" s="88">
        <f>SUM(D37:D40)</f>
        <v>23318.028993890315</v>
      </c>
      <c r="E36" s="88"/>
    </row>
    <row r="37" spans="1:4" ht="15.75">
      <c r="A37" s="25"/>
      <c r="B37" s="25"/>
      <c r="C37" s="89" t="s">
        <v>199</v>
      </c>
      <c r="D37" s="88">
        <v>13324.587996508752</v>
      </c>
    </row>
    <row r="38" spans="1:4" ht="15.75">
      <c r="A38" s="25"/>
      <c r="B38" s="25"/>
      <c r="C38" s="89" t="s">
        <v>200</v>
      </c>
      <c r="D38" s="88">
        <v>5112.923300985916</v>
      </c>
    </row>
    <row r="39" spans="1:4" ht="15.75">
      <c r="A39" s="25"/>
      <c r="B39" s="25"/>
      <c r="C39" s="99" t="s">
        <v>291</v>
      </c>
      <c r="D39" s="88">
        <v>3253.678464263765</v>
      </c>
    </row>
    <row r="40" spans="1:4" ht="15.75">
      <c r="A40" s="25"/>
      <c r="B40" s="25"/>
      <c r="C40" s="89" t="s">
        <v>292</v>
      </c>
      <c r="D40" s="88">
        <v>1626.8392321318825</v>
      </c>
    </row>
    <row r="41" spans="1:5" ht="15.75">
      <c r="A41" s="25"/>
      <c r="B41" s="25"/>
      <c r="C41" s="87" t="s">
        <v>201</v>
      </c>
      <c r="D41" s="88"/>
      <c r="E41" s="88"/>
    </row>
    <row r="42" spans="1:4" ht="15.75">
      <c r="A42" s="25"/>
      <c r="B42" s="25"/>
      <c r="C42" s="87" t="s">
        <v>293</v>
      </c>
      <c r="D42" s="88">
        <v>568.1025889984352</v>
      </c>
    </row>
    <row r="43" spans="1:4" ht="15.75">
      <c r="A43" s="25"/>
      <c r="B43" s="25"/>
      <c r="C43" s="87" t="s">
        <v>202</v>
      </c>
      <c r="D43" s="88"/>
    </row>
    <row r="44" spans="1:4" ht="15.75">
      <c r="A44" s="25"/>
      <c r="B44" s="25"/>
      <c r="C44" s="87" t="s">
        <v>85</v>
      </c>
      <c r="D44" s="88"/>
    </row>
    <row r="45" spans="1:4" ht="15.75">
      <c r="A45" s="25"/>
      <c r="B45" s="25"/>
      <c r="C45" s="87" t="s">
        <v>203</v>
      </c>
      <c r="D45" s="88">
        <v>154.93706972684595</v>
      </c>
    </row>
    <row r="46" spans="1:5" ht="15.75">
      <c r="A46" s="25"/>
      <c r="B46" s="25"/>
      <c r="C46" s="90" t="s">
        <v>204</v>
      </c>
      <c r="D46" s="86">
        <f>+D47+D48</f>
        <v>1136.2051779968701</v>
      </c>
      <c r="E46" s="88"/>
    </row>
    <row r="47" spans="1:4" ht="15.75">
      <c r="A47" s="25"/>
      <c r="B47" s="25"/>
      <c r="C47" s="87" t="s">
        <v>28</v>
      </c>
      <c r="D47" s="88">
        <f>+'Costo produzione latte'!C51</f>
        <v>1032.913798178973</v>
      </c>
    </row>
    <row r="48" spans="1:4" ht="15.75">
      <c r="A48" s="25"/>
      <c r="B48" s="25"/>
      <c r="C48" s="87" t="s">
        <v>29</v>
      </c>
      <c r="D48" s="88">
        <f>+'Costo produzione latte'!C52</f>
        <v>103.2913798178973</v>
      </c>
    </row>
    <row r="49" spans="1:4" ht="15">
      <c r="A49" s="84"/>
      <c r="B49" s="81" t="s">
        <v>205</v>
      </c>
      <c r="C49" s="84"/>
      <c r="D49" s="85">
        <f>+D50+D55+D56+D64</f>
        <v>4479.22637276826</v>
      </c>
    </row>
    <row r="50" spans="1:4" ht="15.75">
      <c r="A50" s="25"/>
      <c r="B50" s="25"/>
      <c r="C50" s="25" t="s">
        <v>206</v>
      </c>
      <c r="D50" s="86">
        <f>+D51+D53</f>
        <v>599.0856899089487</v>
      </c>
    </row>
    <row r="51" spans="1:4" ht="15.75">
      <c r="A51" s="25"/>
      <c r="B51" s="25"/>
      <c r="C51" s="4" t="s">
        <v>207</v>
      </c>
      <c r="D51" s="88">
        <f>+D52</f>
        <v>547.44</v>
      </c>
    </row>
    <row r="52" spans="1:4" ht="15.75">
      <c r="A52" s="25"/>
      <c r="B52" s="25"/>
      <c r="C52" s="91" t="s">
        <v>294</v>
      </c>
      <c r="D52" s="92">
        <f>+'Bilancio compilato'!D16</f>
        <v>547.44</v>
      </c>
    </row>
    <row r="53" spans="1:4" ht="15.75">
      <c r="A53" s="25"/>
      <c r="B53" s="25"/>
      <c r="C53" s="87" t="s">
        <v>208</v>
      </c>
      <c r="D53" s="88">
        <f>+D54</f>
        <v>51.64568990894865</v>
      </c>
    </row>
    <row r="54" spans="1:4" ht="15.75">
      <c r="A54" s="25"/>
      <c r="B54" s="25"/>
      <c r="C54" s="91" t="s">
        <v>209</v>
      </c>
      <c r="D54" s="92">
        <v>51.64568990894865</v>
      </c>
    </row>
    <row r="55" spans="1:4" ht="15.75">
      <c r="A55" s="25"/>
      <c r="B55" s="25"/>
      <c r="C55" s="90" t="s">
        <v>210</v>
      </c>
      <c r="D55" s="86">
        <v>0</v>
      </c>
    </row>
    <row r="56" spans="1:5" ht="15.75">
      <c r="A56" s="25"/>
      <c r="B56" s="25"/>
      <c r="C56" s="90" t="s">
        <v>211</v>
      </c>
      <c r="D56" s="86">
        <f>+D57+D58+D59</f>
        <v>1497.725007359511</v>
      </c>
      <c r="E56" s="88"/>
    </row>
    <row r="57" spans="1:4" ht="15.75">
      <c r="A57" s="25"/>
      <c r="B57" s="25"/>
      <c r="C57" s="87" t="s">
        <v>212</v>
      </c>
      <c r="D57" s="88">
        <v>0</v>
      </c>
    </row>
    <row r="58" spans="1:4" ht="15.75">
      <c r="A58" s="25"/>
      <c r="B58" s="25"/>
      <c r="C58" s="87" t="s">
        <v>31</v>
      </c>
      <c r="D58" s="88">
        <f>+'Costo produzione latte'!C54</f>
        <v>702.3813827617017</v>
      </c>
    </row>
    <row r="59" spans="1:5" ht="15.75">
      <c r="A59" s="25"/>
      <c r="B59" s="25"/>
      <c r="C59" s="87" t="s">
        <v>87</v>
      </c>
      <c r="D59" s="88">
        <f>SUM(D60:D63)</f>
        <v>795.3436245978091</v>
      </c>
      <c r="E59" s="88"/>
    </row>
    <row r="60" spans="1:4" ht="15.75">
      <c r="A60" s="25"/>
      <c r="B60" s="25"/>
      <c r="C60" s="93" t="s">
        <v>213</v>
      </c>
      <c r="D60" s="92">
        <v>0</v>
      </c>
    </row>
    <row r="61" spans="1:4" ht="15.75">
      <c r="A61" s="25"/>
      <c r="B61" s="25"/>
      <c r="C61" s="91" t="s">
        <v>295</v>
      </c>
      <c r="D61" s="92">
        <f>+'Costo produzione latte'!C65</f>
        <v>206.5827596357946</v>
      </c>
    </row>
    <row r="62" spans="1:4" ht="15.75">
      <c r="A62" s="25"/>
      <c r="B62" s="25"/>
      <c r="C62" s="91" t="s">
        <v>296</v>
      </c>
      <c r="D62" s="92">
        <f>+'Costo produzione latte'!C60</f>
        <v>588.7608649620146</v>
      </c>
    </row>
    <row r="63" spans="1:4" ht="15.75">
      <c r="A63" s="25"/>
      <c r="B63" s="25"/>
      <c r="C63" s="91" t="s">
        <v>214</v>
      </c>
      <c r="D63" s="92">
        <v>0</v>
      </c>
    </row>
    <row r="64" spans="1:4" ht="15.75">
      <c r="A64" s="25"/>
      <c r="B64" s="25"/>
      <c r="C64" s="94" t="s">
        <v>215</v>
      </c>
      <c r="D64" s="86">
        <f>+D65+D67+D66</f>
        <v>2382.415675499801</v>
      </c>
    </row>
    <row r="65" spans="1:4" ht="15.75">
      <c r="A65" s="25"/>
      <c r="B65" s="25"/>
      <c r="C65" s="87" t="s">
        <v>216</v>
      </c>
      <c r="D65" s="88">
        <f>+'Costo produzione latte'!C53</f>
        <v>2107.144148285105</v>
      </c>
    </row>
    <row r="66" spans="1:4" ht="15.75">
      <c r="A66" s="25"/>
      <c r="B66" s="25"/>
      <c r="C66" s="87" t="s">
        <v>217</v>
      </c>
      <c r="D66" s="88">
        <f>+'Costo produzione latte'!C63</f>
        <v>275.27152721469633</v>
      </c>
    </row>
    <row r="67" spans="1:4" ht="15.75">
      <c r="A67" s="25"/>
      <c r="B67" s="25"/>
      <c r="C67" s="87" t="s">
        <v>218</v>
      </c>
      <c r="D67" s="88">
        <v>0</v>
      </c>
    </row>
    <row r="68" spans="1:4" ht="15">
      <c r="A68" s="84"/>
      <c r="B68" s="81" t="s">
        <v>219</v>
      </c>
      <c r="C68" s="84"/>
      <c r="D68" s="85">
        <f>+D69+D72</f>
        <v>3264.0096646128895</v>
      </c>
    </row>
    <row r="69" spans="1:4" ht="15.75">
      <c r="A69" s="25"/>
      <c r="B69" s="25"/>
      <c r="C69" s="25" t="s">
        <v>220</v>
      </c>
      <c r="D69" s="86">
        <f>+D70+D71</f>
        <v>3264.0096646128895</v>
      </c>
    </row>
    <row r="70" spans="1:5" ht="15.75">
      <c r="A70" s="25"/>
      <c r="B70" s="25"/>
      <c r="C70" s="87" t="s">
        <v>297</v>
      </c>
      <c r="D70" s="88">
        <f>+'Bilancio compilato'!D44</f>
        <v>1342.79</v>
      </c>
      <c r="E70" s="88"/>
    </row>
    <row r="71" spans="1:4" ht="15.75">
      <c r="A71" s="25"/>
      <c r="B71" s="25"/>
      <c r="C71" s="87" t="s">
        <v>298</v>
      </c>
      <c r="D71" s="88">
        <v>1921.2196646128898</v>
      </c>
    </row>
    <row r="72" spans="1:4" ht="15.75">
      <c r="A72" s="25"/>
      <c r="B72" s="25"/>
      <c r="C72" s="25" t="s">
        <v>221</v>
      </c>
      <c r="D72" s="86">
        <v>0</v>
      </c>
    </row>
    <row r="73" spans="1:5" ht="15">
      <c r="A73" s="84"/>
      <c r="B73" s="81" t="s">
        <v>222</v>
      </c>
      <c r="C73" s="84"/>
      <c r="D73" s="85">
        <f>+D74+D78</f>
        <v>2324.05</v>
      </c>
      <c r="E73" s="88"/>
    </row>
    <row r="74" spans="1:4" ht="15.75">
      <c r="A74" s="25"/>
      <c r="B74" s="25"/>
      <c r="C74" s="25" t="s">
        <v>223</v>
      </c>
      <c r="D74" s="86">
        <f>SUM(D75:D77)</f>
        <v>0</v>
      </c>
    </row>
    <row r="75" spans="1:5" ht="15.75">
      <c r="A75" s="25"/>
      <c r="B75" s="25"/>
      <c r="C75" s="89" t="s">
        <v>224</v>
      </c>
      <c r="D75" s="88">
        <v>0</v>
      </c>
      <c r="E75" s="88"/>
    </row>
    <row r="76" spans="1:5" ht="15.75">
      <c r="A76" s="25"/>
      <c r="B76" s="25"/>
      <c r="C76" s="87" t="s">
        <v>225</v>
      </c>
      <c r="D76" s="88">
        <v>0</v>
      </c>
      <c r="E76" s="88"/>
    </row>
    <row r="77" spans="1:4" ht="15.75">
      <c r="A77" s="25"/>
      <c r="B77" s="25"/>
      <c r="C77" s="87" t="s">
        <v>226</v>
      </c>
      <c r="D77" s="88">
        <v>0</v>
      </c>
    </row>
    <row r="78" spans="1:4" ht="15.75">
      <c r="A78" s="25"/>
      <c r="B78" s="25"/>
      <c r="C78" s="25" t="s">
        <v>227</v>
      </c>
      <c r="D78" s="86">
        <f>+D79</f>
        <v>2324.05</v>
      </c>
    </row>
    <row r="79" spans="1:4" ht="15.75">
      <c r="A79" s="25"/>
      <c r="B79" s="25"/>
      <c r="C79" s="4" t="s">
        <v>228</v>
      </c>
      <c r="D79" s="88">
        <f>+'Bilancio compilato'!D36</f>
        <v>2324.05</v>
      </c>
    </row>
    <row r="80" spans="1:5" ht="15">
      <c r="A80" s="84"/>
      <c r="B80" s="81" t="s">
        <v>229</v>
      </c>
      <c r="C80" s="84"/>
      <c r="D80" s="85">
        <f>+D81+D82+D85+D86</f>
        <v>4062.97</v>
      </c>
      <c r="E80" s="88"/>
    </row>
    <row r="81" spans="1:4" ht="15.75">
      <c r="A81" s="25"/>
      <c r="B81" s="25"/>
      <c r="C81" s="25" t="s">
        <v>230</v>
      </c>
      <c r="D81" s="86">
        <v>0</v>
      </c>
    </row>
    <row r="82" spans="1:5" ht="15.75">
      <c r="A82" s="25"/>
      <c r="B82" s="25"/>
      <c r="C82" s="90" t="s">
        <v>231</v>
      </c>
      <c r="D82" s="86">
        <f>+D83+D84</f>
        <v>4062.97</v>
      </c>
      <c r="E82" s="88"/>
    </row>
    <row r="83" spans="1:4" ht="15.75">
      <c r="A83" s="25"/>
      <c r="B83" s="25"/>
      <c r="C83" s="87" t="s">
        <v>300</v>
      </c>
      <c r="D83" s="88">
        <f>+'Bilancio compilato'!D20</f>
        <v>551.06</v>
      </c>
    </row>
    <row r="84" spans="1:4" ht="15.75">
      <c r="A84" s="25"/>
      <c r="B84" s="25"/>
      <c r="C84" s="87" t="s">
        <v>232</v>
      </c>
      <c r="D84" s="88">
        <f>+'Bilancio compilato'!D21</f>
        <v>3511.91</v>
      </c>
    </row>
    <row r="85" spans="1:4" ht="15.75">
      <c r="A85" s="25"/>
      <c r="B85" s="25"/>
      <c r="C85" s="90" t="s">
        <v>233</v>
      </c>
      <c r="D85" s="86">
        <v>0</v>
      </c>
    </row>
    <row r="86" spans="1:5" ht="15.75">
      <c r="A86" s="25"/>
      <c r="B86" s="25"/>
      <c r="C86" s="90" t="s">
        <v>234</v>
      </c>
      <c r="D86" s="86">
        <v>0</v>
      </c>
      <c r="E86" s="88"/>
    </row>
    <row r="87" spans="1:6" ht="15">
      <c r="A87" s="84"/>
      <c r="B87" s="84" t="s">
        <v>235</v>
      </c>
      <c r="C87" s="84"/>
      <c r="D87" s="85">
        <f>+D88+D93+D96</f>
        <v>0</v>
      </c>
      <c r="E87" s="85">
        <f>+E88+E93+E96</f>
        <v>3615.1982936264058</v>
      </c>
      <c r="F87" s="85">
        <f>+F88+F93+F96</f>
        <v>3615.1982936264058</v>
      </c>
    </row>
    <row r="88" spans="1:6" ht="15.75">
      <c r="A88" s="84"/>
      <c r="B88" s="84"/>
      <c r="C88" s="90" t="s">
        <v>236</v>
      </c>
      <c r="D88" s="86">
        <f>-E88+F88</f>
        <v>0</v>
      </c>
      <c r="E88" s="86">
        <f>SUM(E89:E92)</f>
        <v>0</v>
      </c>
      <c r="F88" s="86">
        <f>SUM(F89:F92)</f>
        <v>0</v>
      </c>
    </row>
    <row r="89" spans="1:6" ht="15">
      <c r="A89" s="84"/>
      <c r="B89" s="84"/>
      <c r="C89" s="87" t="s">
        <v>81</v>
      </c>
      <c r="D89" s="88">
        <v>0</v>
      </c>
      <c r="E89" s="88">
        <v>0</v>
      </c>
      <c r="F89" s="88">
        <v>0</v>
      </c>
    </row>
    <row r="90" spans="1:6" ht="15">
      <c r="A90" s="84"/>
      <c r="B90" s="84"/>
      <c r="C90" s="87" t="s">
        <v>82</v>
      </c>
      <c r="D90" s="88">
        <v>0</v>
      </c>
      <c r="E90" s="88">
        <v>0</v>
      </c>
      <c r="F90" s="88">
        <v>0</v>
      </c>
    </row>
    <row r="91" spans="1:6" ht="15">
      <c r="A91" s="84"/>
      <c r="B91" s="84"/>
      <c r="C91" s="87" t="s">
        <v>22</v>
      </c>
      <c r="D91" s="88">
        <v>0</v>
      </c>
      <c r="E91" s="88">
        <v>0</v>
      </c>
      <c r="F91" s="88">
        <v>0</v>
      </c>
    </row>
    <row r="92" spans="1:6" ht="15">
      <c r="A92" s="84"/>
      <c r="B92" s="84"/>
      <c r="C92" s="87" t="s">
        <v>237</v>
      </c>
      <c r="D92" s="88">
        <f aca="true" t="shared" si="0" ref="D92:D98">-E92+F92</f>
        <v>0</v>
      </c>
      <c r="E92" s="88">
        <v>0</v>
      </c>
      <c r="F92" s="88">
        <v>0</v>
      </c>
    </row>
    <row r="93" spans="1:6" ht="15.75">
      <c r="A93" s="84"/>
      <c r="B93" s="84"/>
      <c r="C93" s="90" t="s">
        <v>238</v>
      </c>
      <c r="D93" s="86">
        <f t="shared" si="0"/>
        <v>0</v>
      </c>
      <c r="E93" s="86">
        <f>SUM(E94:E95)</f>
        <v>3460.26122389956</v>
      </c>
      <c r="F93" s="86">
        <f>SUM(F94:F95)</f>
        <v>3460.26122389956</v>
      </c>
    </row>
    <row r="94" spans="1:6" ht="15">
      <c r="A94" s="84"/>
      <c r="B94" s="84"/>
      <c r="C94" s="87" t="s">
        <v>299</v>
      </c>
      <c r="D94" s="88">
        <f t="shared" si="0"/>
        <v>0</v>
      </c>
      <c r="E94" s="88">
        <v>2169.1189761758433</v>
      </c>
      <c r="F94" s="88">
        <v>2169.1189761758433</v>
      </c>
    </row>
    <row r="95" spans="1:6" ht="15">
      <c r="A95" s="84"/>
      <c r="B95" s="84"/>
      <c r="C95" s="87" t="s">
        <v>239</v>
      </c>
      <c r="D95" s="88">
        <f t="shared" si="0"/>
        <v>0</v>
      </c>
      <c r="E95" s="88">
        <v>1291.1422477237163</v>
      </c>
      <c r="F95" s="88">
        <v>1291.1422477237163</v>
      </c>
    </row>
    <row r="96" spans="1:6" ht="15.75">
      <c r="A96" s="84"/>
      <c r="B96" s="84"/>
      <c r="C96" s="90" t="s">
        <v>240</v>
      </c>
      <c r="D96" s="86">
        <f t="shared" si="0"/>
        <v>0</v>
      </c>
      <c r="E96" s="86">
        <f>+E97+E98</f>
        <v>154.93706972684595</v>
      </c>
      <c r="F96" s="86">
        <f>+F97+F98</f>
        <v>154.93706972684595</v>
      </c>
    </row>
    <row r="97" spans="1:6" ht="15">
      <c r="A97" s="84"/>
      <c r="B97" s="84"/>
      <c r="C97" s="87" t="s">
        <v>28</v>
      </c>
      <c r="D97" s="88">
        <f t="shared" si="0"/>
        <v>0</v>
      </c>
      <c r="E97" s="88">
        <v>129.1142247723716</v>
      </c>
      <c r="F97" s="88">
        <v>129.1142247723716</v>
      </c>
    </row>
    <row r="98" spans="1:6" ht="15">
      <c r="A98" s="84"/>
      <c r="B98" s="84"/>
      <c r="C98" s="87" t="s">
        <v>29</v>
      </c>
      <c r="D98" s="88">
        <f t="shared" si="0"/>
        <v>0</v>
      </c>
      <c r="E98" s="88">
        <v>25.822844954474323</v>
      </c>
      <c r="F98" s="88">
        <v>25.822844954474323</v>
      </c>
    </row>
    <row r="99" spans="1:4" ht="15">
      <c r="A99" s="84"/>
      <c r="B99" s="84" t="s">
        <v>241</v>
      </c>
      <c r="C99" s="84"/>
      <c r="D99" s="85">
        <v>0</v>
      </c>
    </row>
    <row r="100" spans="1:4" ht="15">
      <c r="A100" s="84"/>
      <c r="B100" s="84" t="s">
        <v>242</v>
      </c>
      <c r="C100" s="84"/>
      <c r="D100" s="85">
        <v>0</v>
      </c>
    </row>
    <row r="101" spans="1:4" ht="15">
      <c r="A101" s="84"/>
      <c r="B101" s="84" t="s">
        <v>243</v>
      </c>
      <c r="C101" s="84"/>
      <c r="D101" s="85">
        <v>0</v>
      </c>
    </row>
    <row r="102" spans="1:4" ht="15.75">
      <c r="A102" s="25"/>
      <c r="B102" s="25"/>
      <c r="C102" s="25"/>
      <c r="D102" s="88"/>
    </row>
    <row r="103" spans="1:4" ht="15.75">
      <c r="A103" s="100" t="s">
        <v>244</v>
      </c>
      <c r="B103" s="25"/>
      <c r="C103" s="25"/>
      <c r="D103" s="86">
        <f>+D3-D28</f>
        <v>25434.735268841636</v>
      </c>
    </row>
    <row r="104" spans="1:4" ht="15.75">
      <c r="A104" s="25"/>
      <c r="B104" s="25"/>
      <c r="C104" s="25"/>
      <c r="D104" s="88"/>
    </row>
    <row r="105" spans="1:4" ht="15.75">
      <c r="A105" s="25" t="s">
        <v>245</v>
      </c>
      <c r="B105" s="25"/>
      <c r="C105" s="25"/>
      <c r="D105" s="86">
        <f>+D106+D107+D112</f>
        <v>-180.76</v>
      </c>
    </row>
    <row r="106" spans="1:4" ht="15">
      <c r="A106" s="84"/>
      <c r="B106" s="84" t="s">
        <v>246</v>
      </c>
      <c r="C106" s="84"/>
      <c r="D106" s="85">
        <v>0</v>
      </c>
    </row>
    <row r="107" spans="1:4" ht="15">
      <c r="A107" s="84"/>
      <c r="B107" s="84" t="s">
        <v>247</v>
      </c>
      <c r="C107" s="84"/>
      <c r="D107" s="85">
        <v>0</v>
      </c>
    </row>
    <row r="108" spans="1:4" ht="15.75">
      <c r="A108" s="25"/>
      <c r="B108" s="25"/>
      <c r="C108" s="90" t="s">
        <v>248</v>
      </c>
      <c r="D108" s="88"/>
    </row>
    <row r="109" spans="1:4" ht="15.75">
      <c r="A109" s="25"/>
      <c r="B109" s="25"/>
      <c r="C109" s="90" t="s">
        <v>249</v>
      </c>
      <c r="D109" s="88"/>
    </row>
    <row r="110" spans="1:4" ht="15.75">
      <c r="A110" s="25"/>
      <c r="B110" s="25"/>
      <c r="C110" s="90" t="s">
        <v>250</v>
      </c>
      <c r="D110" s="88"/>
    </row>
    <row r="111" spans="1:4" ht="15.75">
      <c r="A111" s="25"/>
      <c r="B111" s="25"/>
      <c r="C111" s="90" t="s">
        <v>251</v>
      </c>
      <c r="D111" s="88"/>
    </row>
    <row r="112" spans="1:4" ht="15">
      <c r="A112" s="84"/>
      <c r="B112" s="84" t="s">
        <v>252</v>
      </c>
      <c r="C112" s="84"/>
      <c r="D112" s="85">
        <f>-'Bilancio compilato'!D40</f>
        <v>-180.76</v>
      </c>
    </row>
    <row r="113" spans="1:4" ht="15.75">
      <c r="A113" s="25"/>
      <c r="B113" s="25"/>
      <c r="C113" s="25"/>
      <c r="D113" s="88"/>
    </row>
    <row r="114" spans="1:4" ht="15.75">
      <c r="A114" s="90" t="s">
        <v>253</v>
      </c>
      <c r="B114" s="25"/>
      <c r="C114" s="25"/>
      <c r="D114" s="86">
        <v>0</v>
      </c>
    </row>
    <row r="115" spans="1:4" ht="15.75">
      <c r="A115" s="25"/>
      <c r="B115" s="25" t="s">
        <v>254</v>
      </c>
      <c r="C115" s="25"/>
      <c r="D115" s="86">
        <v>0</v>
      </c>
    </row>
    <row r="116" spans="1:4" ht="15.75">
      <c r="A116" s="25"/>
      <c r="B116" s="25"/>
      <c r="C116" s="90" t="s">
        <v>255</v>
      </c>
      <c r="D116" s="86"/>
    </row>
    <row r="117" spans="1:4" ht="15.75">
      <c r="A117" s="25"/>
      <c r="B117" s="25"/>
      <c r="C117" s="90" t="s">
        <v>256</v>
      </c>
      <c r="D117" s="86"/>
    </row>
    <row r="118" spans="1:4" ht="15.75">
      <c r="A118" s="25"/>
      <c r="B118" s="25"/>
      <c r="C118" s="90" t="s">
        <v>257</v>
      </c>
      <c r="D118" s="86"/>
    </row>
    <row r="119" spans="1:4" ht="15.75">
      <c r="A119" s="25"/>
      <c r="B119" s="90" t="s">
        <v>258</v>
      </c>
      <c r="C119" s="25"/>
      <c r="D119" s="86">
        <v>0</v>
      </c>
    </row>
    <row r="120" spans="1:4" ht="15.75">
      <c r="A120" s="25"/>
      <c r="B120" s="25"/>
      <c r="C120" s="90" t="s">
        <v>255</v>
      </c>
      <c r="D120" s="86"/>
    </row>
    <row r="121" spans="1:4" ht="15.75">
      <c r="A121" s="25"/>
      <c r="B121" s="25"/>
      <c r="C121" s="90" t="s">
        <v>256</v>
      </c>
      <c r="D121" s="86"/>
    </row>
    <row r="122" spans="1:4" ht="15.75">
      <c r="A122" s="25"/>
      <c r="B122" s="25"/>
      <c r="C122" s="90" t="s">
        <v>257</v>
      </c>
      <c r="D122" s="86"/>
    </row>
    <row r="123" spans="1:4" ht="15.75">
      <c r="A123" s="25"/>
      <c r="B123" s="25"/>
      <c r="C123" s="25"/>
      <c r="D123" s="88"/>
    </row>
    <row r="124" spans="1:4" ht="15">
      <c r="A124" s="84" t="s">
        <v>259</v>
      </c>
      <c r="B124" s="84"/>
      <c r="C124" s="84"/>
      <c r="D124" s="85"/>
    </row>
    <row r="125" spans="1:4" ht="15.75">
      <c r="A125" s="25"/>
      <c r="B125" s="90" t="s">
        <v>260</v>
      </c>
      <c r="C125" s="25"/>
      <c r="D125" s="86">
        <v>0</v>
      </c>
    </row>
    <row r="126" spans="1:4" ht="15.75">
      <c r="A126" s="25"/>
      <c r="B126" s="90"/>
      <c r="C126" s="4" t="s">
        <v>261</v>
      </c>
      <c r="D126" s="88">
        <v>0</v>
      </c>
    </row>
    <row r="127" spans="1:4" ht="15.75">
      <c r="A127" s="25"/>
      <c r="B127" s="90"/>
      <c r="C127" s="4" t="s">
        <v>262</v>
      </c>
      <c r="D127" s="88">
        <v>0</v>
      </c>
    </row>
    <row r="128" spans="1:4" ht="15.75">
      <c r="A128" s="25"/>
      <c r="B128" s="90" t="s">
        <v>263</v>
      </c>
      <c r="C128" s="25"/>
      <c r="D128" s="88"/>
    </row>
    <row r="129" spans="1:4" ht="15.75">
      <c r="A129" s="25"/>
      <c r="B129" s="25"/>
      <c r="C129" s="25"/>
      <c r="D129" s="88"/>
    </row>
    <row r="130" spans="1:5" ht="15.75">
      <c r="A130" s="25" t="s">
        <v>264</v>
      </c>
      <c r="B130" s="25"/>
      <c r="C130" s="25"/>
      <c r="D130" s="86">
        <f>+D103+D105+D125</f>
        <v>25253.975268841637</v>
      </c>
      <c r="E130" s="88"/>
    </row>
    <row r="131" spans="1:5" ht="15.75">
      <c r="A131" s="25"/>
      <c r="B131" s="25"/>
      <c r="C131" s="25"/>
      <c r="D131" s="86"/>
      <c r="E131" s="88"/>
    </row>
    <row r="132" spans="1:5" ht="20.25">
      <c r="A132" s="25"/>
      <c r="B132" s="25"/>
      <c r="C132" s="102" t="s">
        <v>265</v>
      </c>
      <c r="D132" s="86"/>
      <c r="E132" s="88"/>
    </row>
    <row r="133" spans="1:5" ht="15.75">
      <c r="A133" s="25"/>
      <c r="B133" s="25"/>
      <c r="C133" s="25"/>
      <c r="D133" s="86"/>
      <c r="E133" s="88"/>
    </row>
    <row r="134" spans="1:5" ht="15.75">
      <c r="A134" s="25"/>
      <c r="B134" s="95" t="s">
        <v>266</v>
      </c>
      <c r="C134" s="5" t="s">
        <v>267</v>
      </c>
      <c r="D134" s="20">
        <f>+D3</f>
        <v>65445.68513683526</v>
      </c>
      <c r="E134" s="96">
        <f aca="true" t="shared" si="1" ref="E134:E141">+D134/$D$3*100</f>
        <v>100</v>
      </c>
    </row>
    <row r="135" spans="1:5" ht="15.75">
      <c r="A135" s="25"/>
      <c r="B135" s="95"/>
      <c r="C135" s="4" t="s">
        <v>12</v>
      </c>
      <c r="D135" s="15">
        <f>+D29+D50+D87</f>
        <v>26479.779520521417</v>
      </c>
      <c r="E135" s="97">
        <f t="shared" si="1"/>
        <v>40.46069571302817</v>
      </c>
    </row>
    <row r="136" spans="1:5" ht="15.75">
      <c r="A136" s="25"/>
      <c r="B136" s="95" t="s">
        <v>268</v>
      </c>
      <c r="C136" s="5" t="s">
        <v>269</v>
      </c>
      <c r="D136" s="20">
        <f>+D134-D135</f>
        <v>38965.905616313845</v>
      </c>
      <c r="E136" s="96">
        <f t="shared" si="1"/>
        <v>59.53930428697184</v>
      </c>
    </row>
    <row r="137" spans="1:5" ht="15.75">
      <c r="A137" s="25"/>
      <c r="C137" s="14" t="s">
        <v>270</v>
      </c>
      <c r="D137" s="15">
        <f>+D73</f>
        <v>2324.05</v>
      </c>
      <c r="E137" s="97">
        <f t="shared" si="1"/>
        <v>3.551112644234415</v>
      </c>
    </row>
    <row r="138" spans="1:5" ht="15.75">
      <c r="A138" s="25"/>
      <c r="B138" s="95" t="s">
        <v>271</v>
      </c>
      <c r="C138" s="5" t="s">
        <v>272</v>
      </c>
      <c r="D138" s="20">
        <f>+D136-D137</f>
        <v>36641.85561631384</v>
      </c>
      <c r="E138" s="96">
        <f t="shared" si="1"/>
        <v>55.98819164273742</v>
      </c>
    </row>
    <row r="139" spans="1:5" ht="15.75">
      <c r="A139" s="25"/>
      <c r="C139" s="14" t="s">
        <v>273</v>
      </c>
      <c r="D139" s="15">
        <f>+D80</f>
        <v>4062.97</v>
      </c>
      <c r="E139" s="97">
        <f t="shared" si="1"/>
        <v>6.2081556507584175</v>
      </c>
    </row>
    <row r="140" spans="1:5" ht="15.75">
      <c r="A140" s="25"/>
      <c r="B140" s="95" t="s">
        <v>274</v>
      </c>
      <c r="C140" s="5" t="s">
        <v>289</v>
      </c>
      <c r="D140" s="20">
        <f>+D138-D139</f>
        <v>32578.88561631384</v>
      </c>
      <c r="E140" s="96">
        <f t="shared" si="1"/>
        <v>49.780035991979</v>
      </c>
    </row>
    <row r="141" spans="1:5" ht="15.75">
      <c r="A141" s="25"/>
      <c r="B141" s="95" t="s">
        <v>275</v>
      </c>
      <c r="C141" s="5" t="s">
        <v>276</v>
      </c>
      <c r="D141" s="20">
        <f>+D142+D143+D144</f>
        <v>7144.150347472201</v>
      </c>
      <c r="E141" s="96">
        <f t="shared" si="1"/>
        <v>10.91615181739645</v>
      </c>
    </row>
    <row r="142" spans="1:5" ht="15.75">
      <c r="A142" s="25"/>
      <c r="C142" s="14" t="s">
        <v>277</v>
      </c>
      <c r="D142" s="15">
        <f>+D56</f>
        <v>1497.725007359511</v>
      </c>
      <c r="E142" s="97"/>
    </row>
    <row r="143" spans="1:5" ht="15.75">
      <c r="A143" s="25"/>
      <c r="C143" s="14" t="s">
        <v>278</v>
      </c>
      <c r="D143" s="15">
        <f>+D64</f>
        <v>2382.415675499801</v>
      </c>
      <c r="E143" s="97"/>
    </row>
    <row r="144" spans="1:5" ht="15.75">
      <c r="A144" s="25"/>
      <c r="C144" s="14" t="s">
        <v>279</v>
      </c>
      <c r="D144" s="15">
        <f>+D69</f>
        <v>3264.0096646128895</v>
      </c>
      <c r="E144" s="97"/>
    </row>
    <row r="145" spans="1:5" ht="15.75">
      <c r="A145" s="25"/>
      <c r="B145" s="95" t="s">
        <v>280</v>
      </c>
      <c r="C145" s="5" t="s">
        <v>281</v>
      </c>
      <c r="D145" s="20">
        <f>+D140-D141</f>
        <v>25434.73526884164</v>
      </c>
      <c r="E145" s="96">
        <f>+D145/$D$3*100</f>
        <v>38.863884174582545</v>
      </c>
    </row>
    <row r="146" spans="1:5" ht="15.75">
      <c r="A146" s="25"/>
      <c r="C146" s="14" t="s">
        <v>282</v>
      </c>
      <c r="D146" s="15">
        <f>+D105</f>
        <v>-180.76</v>
      </c>
      <c r="E146" s="97"/>
    </row>
    <row r="147" spans="2:5" ht="15.75">
      <c r="B147" s="95" t="s">
        <v>283</v>
      </c>
      <c r="C147" s="5" t="s">
        <v>284</v>
      </c>
      <c r="D147" s="20">
        <f>+D145+D146</f>
        <v>25253.97526884164</v>
      </c>
      <c r="E147" s="96">
        <f>+D147/$D$3*100</f>
        <v>38.58768567559508</v>
      </c>
    </row>
    <row r="148" spans="3:5" ht="15">
      <c r="C148" s="14" t="s">
        <v>70</v>
      </c>
      <c r="D148" s="15">
        <f>+'Bilancio compilato'!E29</f>
        <v>1961.9049278</v>
      </c>
      <c r="E148" s="97"/>
    </row>
    <row r="149" spans="2:5" ht="15.75">
      <c r="B149" s="95" t="s">
        <v>285</v>
      </c>
      <c r="C149" s="5" t="s">
        <v>286</v>
      </c>
      <c r="D149" s="20">
        <f>+D147-D148</f>
        <v>23292.070341041643</v>
      </c>
      <c r="E149" s="96">
        <f>+D149/$D$3*100</f>
        <v>35.58992513004039</v>
      </c>
    </row>
    <row r="150" spans="2:5" ht="15.75">
      <c r="B150" s="95"/>
      <c r="C150" s="5"/>
      <c r="D150" s="20"/>
      <c r="E150" s="96"/>
    </row>
    <row r="151" spans="2:5" ht="20.25">
      <c r="B151" s="95"/>
      <c r="C151" s="103" t="s">
        <v>287</v>
      </c>
      <c r="D151" s="20"/>
      <c r="E151" s="96"/>
    </row>
    <row r="152" spans="2:5" ht="15.75">
      <c r="B152" s="95"/>
      <c r="C152" s="5"/>
      <c r="D152" s="20"/>
      <c r="E152" s="96"/>
    </row>
    <row r="153" spans="2:5" ht="15.75">
      <c r="B153" s="95"/>
      <c r="C153" s="5" t="s">
        <v>267</v>
      </c>
      <c r="D153" s="20">
        <f>+D134</f>
        <v>65445.68513683526</v>
      </c>
      <c r="E153" s="96">
        <f>+D153/D$153*100</f>
        <v>100</v>
      </c>
    </row>
    <row r="154" spans="3:5" ht="15">
      <c r="C154" s="4" t="s">
        <v>12</v>
      </c>
      <c r="D154" s="59">
        <f>+D135</f>
        <v>26479.779520521417</v>
      </c>
      <c r="E154" s="97">
        <f>+D154/D$153*100</f>
        <v>40.46069571302817</v>
      </c>
    </row>
    <row r="155" spans="3:5" ht="15.75">
      <c r="C155" s="25" t="s">
        <v>288</v>
      </c>
      <c r="D155" s="98">
        <f>+D134-D154</f>
        <v>38965.905616313845</v>
      </c>
      <c r="E155" s="96">
        <f>+D155/D$153*100</f>
        <v>59.53930428697184</v>
      </c>
    </row>
    <row r="156" spans="3:5" ht="15">
      <c r="C156" s="4" t="s">
        <v>11</v>
      </c>
      <c r="D156" s="59">
        <f>+D137+D139+D142+D143+D144+D148-D146</f>
        <v>15673.835275272204</v>
      </c>
      <c r="E156" s="97">
        <f>+D156/D$153*100</f>
        <v>23.949379156931442</v>
      </c>
    </row>
    <row r="157" spans="3:5" ht="15.75">
      <c r="C157" s="5" t="s">
        <v>286</v>
      </c>
      <c r="D157" s="98">
        <f>+D149</f>
        <v>23292.070341041643</v>
      </c>
      <c r="E157" s="96">
        <f>+D157/D$153*100</f>
        <v>35.58992513004039</v>
      </c>
    </row>
    <row r="158" spans="3:4" ht="15.75">
      <c r="C158" s="5"/>
      <c r="D158" s="59"/>
    </row>
    <row r="159" spans="3:4" ht="15.75">
      <c r="C159" s="5" t="s">
        <v>398</v>
      </c>
      <c r="D159" s="59"/>
    </row>
    <row r="160" spans="3:9" ht="15">
      <c r="C160"/>
      <c r="D160"/>
      <c r="E160"/>
      <c r="F160"/>
      <c r="G160"/>
      <c r="H160"/>
      <c r="I160"/>
    </row>
    <row r="161" spans="2:9" ht="15.75">
      <c r="B161" s="129"/>
      <c r="C161" s="130" t="s">
        <v>357</v>
      </c>
      <c r="D161" s="131"/>
      <c r="E161" s="131"/>
      <c r="F161" s="132"/>
      <c r="G161" s="130" t="s">
        <v>358</v>
      </c>
      <c r="H161" s="133"/>
      <c r="I161"/>
    </row>
    <row r="162" spans="2:9" ht="15.75">
      <c r="B162" s="134"/>
      <c r="C162" s="135" t="s">
        <v>359</v>
      </c>
      <c r="D162" s="136">
        <f>SUM(D163:D166)</f>
        <v>30212.666666666668</v>
      </c>
      <c r="E162" s="136"/>
      <c r="F162" s="137"/>
      <c r="G162" s="135" t="s">
        <v>360</v>
      </c>
      <c r="H162" s="138">
        <f>+H163</f>
        <v>5450</v>
      </c>
      <c r="I162"/>
    </row>
    <row r="163" spans="2:9" ht="15">
      <c r="B163" s="134"/>
      <c r="C163" s="139" t="s">
        <v>361</v>
      </c>
      <c r="D163" s="140">
        <v>3500</v>
      </c>
      <c r="E163" s="140"/>
      <c r="F163" s="137"/>
      <c r="G163" s="137" t="s">
        <v>378</v>
      </c>
      <c r="H163" s="141">
        <v>5450</v>
      </c>
      <c r="I163"/>
    </row>
    <row r="164" spans="2:9" ht="15">
      <c r="B164" s="134"/>
      <c r="C164" s="139" t="s">
        <v>379</v>
      </c>
      <c r="D164" s="140">
        <v>7637</v>
      </c>
      <c r="E164" s="140"/>
      <c r="F164" s="137"/>
      <c r="G164" s="137" t="s">
        <v>390</v>
      </c>
      <c r="H164" s="141">
        <v>0</v>
      </c>
      <c r="I164"/>
    </row>
    <row r="165" spans="2:9" ht="15">
      <c r="B165" s="134"/>
      <c r="C165" s="139" t="s">
        <v>391</v>
      </c>
      <c r="D165" s="140">
        <v>15000</v>
      </c>
      <c r="E165" s="140"/>
      <c r="F165" s="137"/>
      <c r="G165" s="137"/>
      <c r="H165" s="142"/>
      <c r="I165"/>
    </row>
    <row r="166" spans="2:9" ht="15.75">
      <c r="B166" s="134"/>
      <c r="C166" s="139" t="s">
        <v>392</v>
      </c>
      <c r="D166" s="140">
        <v>4075.6666666666665</v>
      </c>
      <c r="E166" s="140"/>
      <c r="F166" s="137"/>
      <c r="G166" s="135" t="s">
        <v>362</v>
      </c>
      <c r="H166" s="138">
        <f>+H167+H168+H169</f>
        <v>2700</v>
      </c>
      <c r="I166"/>
    </row>
    <row r="167" spans="2:9" ht="15.75">
      <c r="B167" s="134"/>
      <c r="C167" s="137"/>
      <c r="D167" s="137"/>
      <c r="E167" s="136"/>
      <c r="F167" s="137"/>
      <c r="G167" s="137" t="s">
        <v>363</v>
      </c>
      <c r="H167" s="141">
        <v>0</v>
      </c>
      <c r="I167"/>
    </row>
    <row r="168" spans="2:9" ht="15.75">
      <c r="B168" s="134"/>
      <c r="C168" s="135" t="s">
        <v>364</v>
      </c>
      <c r="D168" s="136">
        <f>SUM(D169:D175)</f>
        <v>171517.43532244986</v>
      </c>
      <c r="E168" s="140"/>
      <c r="F168" s="137"/>
      <c r="G168" s="137" t="s">
        <v>365</v>
      </c>
      <c r="H168" s="141">
        <v>0</v>
      </c>
      <c r="I168"/>
    </row>
    <row r="169" spans="2:9" ht="15">
      <c r="B169" s="134"/>
      <c r="C169" s="137" t="s">
        <v>366</v>
      </c>
      <c r="D169" s="140">
        <v>100709.09532244987</v>
      </c>
      <c r="E169" s="140"/>
      <c r="F169" s="137"/>
      <c r="G169" s="137" t="s">
        <v>367</v>
      </c>
      <c r="H169" s="141">
        <v>2700</v>
      </c>
      <c r="I169"/>
    </row>
    <row r="170" spans="2:9" ht="15">
      <c r="B170" s="134"/>
      <c r="C170" s="139" t="s">
        <v>368</v>
      </c>
      <c r="D170" s="140">
        <v>18369</v>
      </c>
      <c r="E170" s="140"/>
      <c r="F170" s="137"/>
      <c r="G170" s="137"/>
      <c r="H170" s="142"/>
      <c r="I170"/>
    </row>
    <row r="171" spans="2:9" ht="15.75">
      <c r="B171" s="134"/>
      <c r="C171" s="139" t="s">
        <v>393</v>
      </c>
      <c r="D171" s="140">
        <f>-'Bilancio compilato'!D20*20</f>
        <v>-11021.199999999999</v>
      </c>
      <c r="E171" s="140"/>
      <c r="F171" s="137"/>
      <c r="G171" s="143" t="s">
        <v>369</v>
      </c>
      <c r="H171" s="138">
        <f>+D75*3</f>
        <v>0</v>
      </c>
      <c r="I171"/>
    </row>
    <row r="172" spans="2:9" ht="15">
      <c r="B172" s="134"/>
      <c r="C172" s="139" t="s">
        <v>370</v>
      </c>
      <c r="D172" s="140">
        <v>58532</v>
      </c>
      <c r="E172" s="140"/>
      <c r="F172" s="137"/>
      <c r="G172" s="137"/>
      <c r="H172" s="142"/>
      <c r="I172"/>
    </row>
    <row r="173" spans="2:9" ht="15.75">
      <c r="B173" s="134"/>
      <c r="C173" s="139" t="s">
        <v>394</v>
      </c>
      <c r="D173" s="140">
        <f>-'Bilancio compilato'!D21*6</f>
        <v>-21071.46</v>
      </c>
      <c r="E173" s="140"/>
      <c r="F173" s="137"/>
      <c r="G173" s="135" t="s">
        <v>371</v>
      </c>
      <c r="H173" s="138">
        <f>+H178-H162-H166-H171</f>
        <v>193580.10198911652</v>
      </c>
      <c r="I173"/>
    </row>
    <row r="174" spans="2:9" ht="15">
      <c r="B174" s="134"/>
      <c r="C174" s="139" t="s">
        <v>372</v>
      </c>
      <c r="D174" s="140">
        <f>52*500</f>
        <v>26000</v>
      </c>
      <c r="E174" s="137"/>
      <c r="F174" s="137"/>
      <c r="G174" s="137" t="s">
        <v>373</v>
      </c>
      <c r="H174" s="144">
        <f>+H173-H175-H176</f>
        <v>190288.0316480749</v>
      </c>
      <c r="I174"/>
    </row>
    <row r="175" spans="2:9" ht="15.75">
      <c r="B175" s="134"/>
      <c r="C175" s="139" t="s">
        <v>374</v>
      </c>
      <c r="D175" s="140">
        <v>0</v>
      </c>
      <c r="E175" s="136"/>
      <c r="F175" s="137"/>
      <c r="G175" s="137" t="s">
        <v>375</v>
      </c>
      <c r="H175" s="144">
        <f>+D149</f>
        <v>23292.070341041643</v>
      </c>
      <c r="I175"/>
    </row>
    <row r="176" spans="2:9" ht="15.75">
      <c r="B176" s="134"/>
      <c r="C176" s="137"/>
      <c r="D176" s="137"/>
      <c r="E176" s="136"/>
      <c r="F176" s="137"/>
      <c r="G176" s="137" t="s">
        <v>389</v>
      </c>
      <c r="H176" s="144">
        <v>-20000</v>
      </c>
      <c r="I176"/>
    </row>
    <row r="177" spans="2:9" ht="15">
      <c r="B177" s="134"/>
      <c r="C177" s="137"/>
      <c r="D177" s="137"/>
      <c r="E177" s="137"/>
      <c r="F177" s="137"/>
      <c r="G177" s="137"/>
      <c r="H177" s="144"/>
      <c r="I177"/>
    </row>
    <row r="178" spans="2:9" ht="15.75">
      <c r="B178" s="145"/>
      <c r="C178" s="9" t="s">
        <v>376</v>
      </c>
      <c r="D178" s="21">
        <f>+D162+D168</f>
        <v>201730.10198911652</v>
      </c>
      <c r="E178" s="27"/>
      <c r="F178" s="27"/>
      <c r="G178" s="9" t="s">
        <v>377</v>
      </c>
      <c r="H178" s="146">
        <f>+D178</f>
        <v>201730.10198911652</v>
      </c>
      <c r="I178"/>
    </row>
    <row r="179" spans="3:9" ht="15">
      <c r="C179"/>
      <c r="D179"/>
      <c r="E179"/>
      <c r="F179"/>
      <c r="G179"/>
      <c r="H179"/>
      <c r="I179"/>
    </row>
    <row r="180" spans="3:9" ht="15">
      <c r="C180"/>
      <c r="D180"/>
      <c r="E180"/>
      <c r="F180"/>
      <c r="G180"/>
      <c r="H180"/>
      <c r="I180"/>
    </row>
    <row r="181" spans="3:9" ht="15.75">
      <c r="C181" s="25" t="s">
        <v>380</v>
      </c>
      <c r="E181"/>
      <c r="F181"/>
      <c r="G181" s="25" t="s">
        <v>384</v>
      </c>
      <c r="I181"/>
    </row>
    <row r="182" spans="5:9" ht="15">
      <c r="E182"/>
      <c r="I182"/>
    </row>
    <row r="183" spans="2:9" ht="15">
      <c r="B183" s="4">
        <v>1</v>
      </c>
      <c r="C183" s="4" t="s">
        <v>396</v>
      </c>
      <c r="D183" s="24">
        <f>+D163/H162*100</f>
        <v>64.22018348623854</v>
      </c>
      <c r="E183"/>
      <c r="F183" s="4">
        <v>1</v>
      </c>
      <c r="G183" s="4" t="s">
        <v>385</v>
      </c>
      <c r="H183" s="24">
        <f>+D149/H173*100</f>
        <v>12.03226473263826</v>
      </c>
      <c r="I183"/>
    </row>
    <row r="184" spans="2:9" ht="15">
      <c r="B184" s="4">
        <v>2</v>
      </c>
      <c r="C184" s="4" t="s">
        <v>395</v>
      </c>
      <c r="D184" s="24">
        <f>+D162/H162*100</f>
        <v>554.3608562691131</v>
      </c>
      <c r="E184"/>
      <c r="F184" s="4">
        <v>2</v>
      </c>
      <c r="G184" s="4" t="s">
        <v>386</v>
      </c>
      <c r="H184" s="24">
        <f>+D145/(H178)*100</f>
        <v>12.60829941493504</v>
      </c>
      <c r="I184"/>
    </row>
    <row r="185" spans="2:9" ht="15">
      <c r="B185" s="4">
        <v>3</v>
      </c>
      <c r="C185" s="4" t="s">
        <v>381</v>
      </c>
      <c r="D185" s="24">
        <f>+H166/D168*100</f>
        <v>1.5741839859743971</v>
      </c>
      <c r="E185"/>
      <c r="F185" s="4">
        <v>3</v>
      </c>
      <c r="G185" s="4" t="s">
        <v>387</v>
      </c>
      <c r="H185" s="24">
        <f>-D146/(H162+H166)*100</f>
        <v>2.2179141104294477</v>
      </c>
      <c r="I185"/>
    </row>
    <row r="186" spans="2:9" ht="15">
      <c r="B186" s="4">
        <v>4</v>
      </c>
      <c r="C186" s="4" t="s">
        <v>382</v>
      </c>
      <c r="D186" s="24">
        <f>+H173/D168*100</f>
        <v>112.8632209461325</v>
      </c>
      <c r="E186"/>
      <c r="F186" s="4">
        <v>4</v>
      </c>
      <c r="G186" s="4" t="s">
        <v>388</v>
      </c>
      <c r="H186" s="24">
        <f>+D145/D3*100</f>
        <v>38.863884174582545</v>
      </c>
      <c r="I186"/>
    </row>
    <row r="187" spans="2:9" ht="15">
      <c r="B187" s="4">
        <v>5</v>
      </c>
      <c r="C187" s="4" t="s">
        <v>383</v>
      </c>
      <c r="D187" s="24">
        <f>+H166/D168*100</f>
        <v>1.5741839859743971</v>
      </c>
      <c r="E187"/>
      <c r="F187"/>
      <c r="G187"/>
      <c r="H187"/>
      <c r="I187"/>
    </row>
    <row r="188" spans="5:9" ht="15">
      <c r="E188"/>
      <c r="F188"/>
      <c r="G188"/>
      <c r="H188"/>
      <c r="I188"/>
    </row>
    <row r="189" spans="5:9" ht="15">
      <c r="E189"/>
      <c r="F189"/>
      <c r="G189"/>
      <c r="H189"/>
      <c r="I189"/>
    </row>
    <row r="190" spans="5:9" ht="15">
      <c r="E190"/>
      <c r="F190"/>
      <c r="G190"/>
      <c r="H190"/>
      <c r="I190"/>
    </row>
    <row r="191" spans="5:9" ht="15">
      <c r="E191"/>
      <c r="F191"/>
      <c r="G191"/>
      <c r="H191"/>
      <c r="I191"/>
    </row>
    <row r="192" spans="5:9" ht="15">
      <c r="E192"/>
      <c r="F192"/>
      <c r="G192"/>
      <c r="H192"/>
      <c r="I192"/>
    </row>
    <row r="193" spans="5:9" ht="15">
      <c r="E193"/>
      <c r="F193"/>
      <c r="G193"/>
      <c r="H193"/>
      <c r="I193"/>
    </row>
    <row r="194" spans="3:9" ht="15">
      <c r="C194"/>
      <c r="D194"/>
      <c r="E194"/>
      <c r="F194"/>
      <c r="G194"/>
      <c r="H194"/>
      <c r="I194"/>
    </row>
    <row r="195" spans="3:9" ht="15">
      <c r="C195"/>
      <c r="D195"/>
      <c r="E195"/>
      <c r="F195"/>
      <c r="G195"/>
      <c r="H195"/>
      <c r="I195"/>
    </row>
    <row r="196" spans="3:9" ht="15">
      <c r="C196"/>
      <c r="D196"/>
      <c r="E196"/>
      <c r="F196"/>
      <c r="G196"/>
      <c r="H196"/>
      <c r="I196"/>
    </row>
    <row r="197" spans="3:9" ht="15">
      <c r="C197"/>
      <c r="D197"/>
      <c r="E197"/>
      <c r="F197"/>
      <c r="G197"/>
      <c r="H197"/>
      <c r="I197"/>
    </row>
    <row r="198" spans="3:9" ht="15">
      <c r="C198"/>
      <c r="D198"/>
      <c r="E198"/>
      <c r="F198"/>
      <c r="G198"/>
      <c r="H198"/>
      <c r="I198"/>
    </row>
    <row r="199" spans="3:9" ht="15">
      <c r="C199"/>
      <c r="D199"/>
      <c r="E199"/>
      <c r="F199"/>
      <c r="G199"/>
      <c r="H199"/>
      <c r="I199"/>
    </row>
    <row r="200" spans="3:9" ht="15">
      <c r="C200"/>
      <c r="D200"/>
      <c r="E200"/>
      <c r="F200"/>
      <c r="G200"/>
      <c r="H200"/>
      <c r="I200"/>
    </row>
    <row r="201" spans="3:9" ht="15">
      <c r="C201"/>
      <c r="D201"/>
      <c r="E201"/>
      <c r="F201"/>
      <c r="G201"/>
      <c r="H201"/>
      <c r="I201"/>
    </row>
    <row r="202" spans="3:9" ht="15">
      <c r="C202"/>
      <c r="D202"/>
      <c r="E202"/>
      <c r="F202"/>
      <c r="G202"/>
      <c r="H202"/>
      <c r="I202"/>
    </row>
    <row r="203" spans="3:9" ht="15">
      <c r="C203"/>
      <c r="D203"/>
      <c r="E203"/>
      <c r="F203"/>
      <c r="G203"/>
      <c r="H203"/>
      <c r="I203"/>
    </row>
    <row r="204" spans="3:9" ht="15">
      <c r="C204"/>
      <c r="D204"/>
      <c r="E204"/>
      <c r="F204"/>
      <c r="G204"/>
      <c r="H204"/>
      <c r="I204"/>
    </row>
    <row r="205" spans="3:9" ht="15">
      <c r="C205"/>
      <c r="D205"/>
      <c r="E205"/>
      <c r="F205"/>
      <c r="G205"/>
      <c r="H205"/>
      <c r="I205"/>
    </row>
    <row r="206" spans="3:9" ht="15">
      <c r="C206"/>
      <c r="D206"/>
      <c r="E206"/>
      <c r="F206"/>
      <c r="G206"/>
      <c r="H206"/>
      <c r="I206"/>
    </row>
    <row r="207" spans="3:9" ht="15">
      <c r="C207"/>
      <c r="D207"/>
      <c r="E207"/>
      <c r="F207"/>
      <c r="G207"/>
      <c r="H207"/>
      <c r="I207"/>
    </row>
    <row r="208" spans="3:9" ht="15">
      <c r="C208"/>
      <c r="D208"/>
      <c r="E208"/>
      <c r="F208"/>
      <c r="G208"/>
      <c r="H208"/>
      <c r="I208"/>
    </row>
    <row r="209" spans="3:9" ht="15">
      <c r="C209"/>
      <c r="D209"/>
      <c r="E209"/>
      <c r="F209"/>
      <c r="G209"/>
      <c r="H209"/>
      <c r="I209"/>
    </row>
    <row r="210" spans="3:9" ht="15">
      <c r="C210"/>
      <c r="D210"/>
      <c r="E210"/>
      <c r="F210"/>
      <c r="G210"/>
      <c r="H210"/>
      <c r="I210"/>
    </row>
    <row r="211" spans="3:9" ht="15">
      <c r="C211"/>
      <c r="D211"/>
      <c r="E211"/>
      <c r="F211"/>
      <c r="G211"/>
      <c r="H211"/>
      <c r="I211"/>
    </row>
    <row r="212" spans="3:9" ht="15">
      <c r="C212"/>
      <c r="D212"/>
      <c r="E212"/>
      <c r="F212"/>
      <c r="G212"/>
      <c r="H212"/>
      <c r="I212"/>
    </row>
    <row r="213" spans="3:9" ht="15">
      <c r="C213"/>
      <c r="D213"/>
      <c r="E213"/>
      <c r="F213"/>
      <c r="G213"/>
      <c r="H213"/>
      <c r="I213"/>
    </row>
    <row r="214" spans="3:9" ht="15">
      <c r="C214"/>
      <c r="D214"/>
      <c r="E214"/>
      <c r="F214"/>
      <c r="G214"/>
      <c r="H214"/>
      <c r="I214"/>
    </row>
    <row r="215" spans="3:9" ht="15">
      <c r="C215"/>
      <c r="D215"/>
      <c r="E215"/>
      <c r="F215"/>
      <c r="G215"/>
      <c r="H215"/>
      <c r="I215"/>
    </row>
    <row r="216" spans="3:9" ht="15">
      <c r="C216"/>
      <c r="D216"/>
      <c r="E216"/>
      <c r="F216"/>
      <c r="G216"/>
      <c r="H216"/>
      <c r="I216"/>
    </row>
    <row r="217" spans="3:9" ht="15">
      <c r="C217"/>
      <c r="D217"/>
      <c r="E217"/>
      <c r="F217"/>
      <c r="G217"/>
      <c r="H217"/>
      <c r="I217"/>
    </row>
    <row r="218" spans="3:9" ht="15">
      <c r="C218"/>
      <c r="D218"/>
      <c r="E218"/>
      <c r="F218"/>
      <c r="G218"/>
      <c r="H218"/>
      <c r="I218"/>
    </row>
    <row r="219" spans="3:9" ht="15">
      <c r="C219"/>
      <c r="D219"/>
      <c r="E219"/>
      <c r="F219"/>
      <c r="G219"/>
      <c r="H219"/>
      <c r="I219"/>
    </row>
    <row r="220" spans="3:9" ht="15">
      <c r="C220"/>
      <c r="D220"/>
      <c r="E220"/>
      <c r="F220"/>
      <c r="G220"/>
      <c r="H220"/>
      <c r="I220"/>
    </row>
    <row r="221" spans="3:9" ht="15">
      <c r="C221"/>
      <c r="D221"/>
      <c r="E221"/>
      <c r="F221"/>
      <c r="G221"/>
      <c r="H221"/>
      <c r="I221"/>
    </row>
  </sheetData>
  <printOptions horizontalCentered="1" verticalCentered="1"/>
  <pageMargins left="0.6" right="0.6" top="0.984251968503937" bottom="0.984251968503937" header="0.5118110236220472" footer="0.5118110236220472"/>
  <pageSetup fitToHeight="1" fitToWidth="1" horizontalDpi="300" verticalDpi="300" orientation="landscape" paperSize="9" scale="91" r:id="rId1"/>
  <rowBreaks count="2" manualBreakCount="2">
    <brk id="48" max="5" man="1"/>
    <brk id="103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workbookViewId="0" topLeftCell="A1">
      <selection activeCell="A1" sqref="A1"/>
    </sheetView>
  </sheetViews>
  <sheetFormatPr defaultColWidth="9.140625" defaultRowHeight="12.75"/>
  <cols>
    <col min="1" max="1" width="19.421875" style="4" customWidth="1"/>
    <col min="2" max="6" width="13.8515625" style="4" customWidth="1"/>
    <col min="7" max="16384" width="9.140625" style="4" customWidth="1"/>
  </cols>
  <sheetData>
    <row r="1" s="1" customFormat="1" ht="20.25" customHeight="1">
      <c r="A1" s="1" t="s">
        <v>79</v>
      </c>
    </row>
    <row r="2" spans="1:6" ht="34.5" customHeight="1">
      <c r="A2" s="2" t="s">
        <v>0</v>
      </c>
      <c r="B2" s="3" t="s">
        <v>1</v>
      </c>
      <c r="C2" s="3" t="s">
        <v>340</v>
      </c>
      <c r="D2" s="3" t="s">
        <v>341</v>
      </c>
      <c r="E2" s="3" t="s">
        <v>2</v>
      </c>
      <c r="F2" s="3" t="s">
        <v>3</v>
      </c>
    </row>
    <row r="3" spans="1:6" ht="15.75">
      <c r="A3" s="5" t="s">
        <v>4</v>
      </c>
      <c r="B3" s="6">
        <v>136.5</v>
      </c>
      <c r="C3" s="66">
        <v>335.6969844081662</v>
      </c>
      <c r="D3" s="7">
        <f>+C3*B3</f>
        <v>45822.63837171469</v>
      </c>
      <c r="E3" s="6">
        <f>+D3/$C$3</f>
        <v>136.5</v>
      </c>
      <c r="F3" s="8">
        <f>+D3/$D$7</f>
        <v>0.7139408569704285</v>
      </c>
    </row>
    <row r="4" spans="1:6" ht="15.75">
      <c r="A4" s="5" t="s">
        <v>64</v>
      </c>
      <c r="B4" s="6">
        <v>9.5</v>
      </c>
      <c r="C4" s="66">
        <v>619.7482789073838</v>
      </c>
      <c r="D4" s="7">
        <f>+C4*B4</f>
        <v>5887.608649620146</v>
      </c>
      <c r="E4" s="6">
        <f>+D4/$C$3</f>
        <v>17.53846153846154</v>
      </c>
      <c r="F4" s="8">
        <f>+D4/$D$7</f>
        <v>0.09173204586602293</v>
      </c>
    </row>
    <row r="5" spans="1:6" ht="15.75">
      <c r="A5" s="5" t="s">
        <v>5</v>
      </c>
      <c r="B5" s="5">
        <v>7.2</v>
      </c>
      <c r="C5" s="5"/>
      <c r="D5" s="7">
        <v>10303.315136835256</v>
      </c>
      <c r="E5" s="6">
        <f>+D5/$C$3</f>
        <v>30.692307692307693</v>
      </c>
      <c r="F5" s="8">
        <f>+D5/$D$7</f>
        <v>0.16053108026554014</v>
      </c>
    </row>
    <row r="6" spans="1:6" ht="15.75">
      <c r="A6" s="5" t="s">
        <v>65</v>
      </c>
      <c r="B6" s="6">
        <v>14</v>
      </c>
      <c r="C6" s="66">
        <v>154.93706972684595</v>
      </c>
      <c r="D6" s="7">
        <f>+C6*B6</f>
        <v>2169.1189761758433</v>
      </c>
      <c r="E6" s="6">
        <f>+D6/$C$3</f>
        <v>6.461538461538462</v>
      </c>
      <c r="F6" s="8">
        <f>+D6/$D$7</f>
        <v>0.03379601689800845</v>
      </c>
    </row>
    <row r="7" spans="1:6" ht="15.75">
      <c r="A7" s="9" t="s">
        <v>7</v>
      </c>
      <c r="B7" s="9"/>
      <c r="C7" s="9"/>
      <c r="D7" s="10">
        <f>SUM(D3:D6)</f>
        <v>64182.681134345934</v>
      </c>
      <c r="E7" s="11">
        <f>SUM(E3:E6)</f>
        <v>191.19230769230768</v>
      </c>
      <c r="F7" s="12">
        <f>+D7/$D$7</f>
        <v>1</v>
      </c>
    </row>
    <row r="8" spans="1:6" ht="15">
      <c r="A8" s="13" t="s">
        <v>8</v>
      </c>
      <c r="B8" s="14"/>
      <c r="C8" s="15"/>
      <c r="D8" s="15"/>
      <c r="E8" s="16"/>
      <c r="F8" s="14"/>
    </row>
    <row r="9" spans="1:6" ht="15">
      <c r="A9" s="13"/>
      <c r="B9" s="14"/>
      <c r="C9" s="15"/>
      <c r="D9" s="15"/>
      <c r="E9" s="16"/>
      <c r="F9" s="14"/>
    </row>
    <row r="10" spans="1:6" ht="15">
      <c r="A10" s="14"/>
      <c r="B10" s="14"/>
      <c r="C10" s="15"/>
      <c r="D10" s="15"/>
      <c r="E10" s="16"/>
      <c r="F10" s="14"/>
    </row>
    <row r="11" spans="1:6" ht="22.5" customHeight="1">
      <c r="A11" s="1" t="s">
        <v>80</v>
      </c>
      <c r="B11" s="5"/>
      <c r="C11" s="5"/>
      <c r="D11" s="5"/>
      <c r="E11" s="5"/>
      <c r="F11" s="5"/>
    </row>
    <row r="12" spans="1:6" ht="19.5" customHeight="1">
      <c r="A12" s="17"/>
      <c r="B12" s="17"/>
      <c r="C12" s="18"/>
      <c r="D12" s="18" t="s">
        <v>343</v>
      </c>
      <c r="E12" s="19" t="s">
        <v>399</v>
      </c>
      <c r="F12" s="19" t="s">
        <v>3</v>
      </c>
    </row>
    <row r="13" spans="1:6" ht="15.75">
      <c r="A13" s="5" t="s">
        <v>10</v>
      </c>
      <c r="B13" s="5"/>
      <c r="C13" s="20"/>
      <c r="D13" s="20">
        <f>+D7</f>
        <v>64182.681134345934</v>
      </c>
      <c r="E13" s="66">
        <f>+D13/$E$7</f>
        <v>335.69698440816626</v>
      </c>
      <c r="F13" s="8"/>
    </row>
    <row r="14" spans="1:6" ht="15.75">
      <c r="A14" s="5" t="s">
        <v>68</v>
      </c>
      <c r="B14" s="5"/>
      <c r="C14" s="20"/>
      <c r="D14" s="20">
        <f>+D44+D58+D59+D69-C68-C53-C54-C63-C67</f>
        <v>29196.341419326855</v>
      </c>
      <c r="E14" s="6"/>
      <c r="F14" s="8"/>
    </row>
    <row r="15" spans="1:6" ht="15.75">
      <c r="A15" s="5" t="s">
        <v>69</v>
      </c>
      <c r="B15" s="5"/>
      <c r="C15" s="20"/>
      <c r="D15" s="20">
        <f>+C53+C54+C63+D72+D73</f>
        <v>7147.763483398494</v>
      </c>
      <c r="E15" s="6"/>
      <c r="F15" s="8"/>
    </row>
    <row r="16" spans="1:6" ht="15.75">
      <c r="A16" s="5" t="s">
        <v>70</v>
      </c>
      <c r="B16" s="5"/>
      <c r="C16" s="20"/>
      <c r="D16" s="20">
        <f>+C68+C67</f>
        <v>1961.9076874357947</v>
      </c>
      <c r="E16" s="6"/>
      <c r="F16" s="8"/>
    </row>
    <row r="17" spans="1:6" ht="15.75">
      <c r="A17" s="5" t="s">
        <v>71</v>
      </c>
      <c r="B17" s="5"/>
      <c r="C17" s="20"/>
      <c r="D17" s="20">
        <f>SUM(D14:D16)</f>
        <v>38306.01259016114</v>
      </c>
      <c r="E17" s="6"/>
      <c r="F17" s="8"/>
    </row>
    <row r="18" spans="1:6" ht="15.75">
      <c r="A18" s="5"/>
      <c r="B18" s="5" t="s">
        <v>75</v>
      </c>
      <c r="C18" s="20"/>
      <c r="D18" s="20">
        <f>+D13-D17</f>
        <v>25876.668544184795</v>
      </c>
      <c r="E18" s="6"/>
      <c r="F18" s="8"/>
    </row>
    <row r="19" spans="1:6" ht="15.75">
      <c r="A19" s="5" t="s">
        <v>72</v>
      </c>
      <c r="B19" s="5"/>
      <c r="C19" s="20"/>
      <c r="D19" s="20">
        <f>+D79+D80</f>
        <v>26884.05604590269</v>
      </c>
      <c r="E19" s="6"/>
      <c r="F19" s="8"/>
    </row>
    <row r="20" spans="1:6" ht="15.75">
      <c r="A20" s="5" t="s">
        <v>73</v>
      </c>
      <c r="B20" s="5"/>
      <c r="C20" s="20"/>
      <c r="D20" s="20">
        <f>+D88-D86</f>
        <v>3758.7733115732826</v>
      </c>
      <c r="E20" s="6"/>
      <c r="F20" s="8"/>
    </row>
    <row r="21" spans="1:6" ht="15.75">
      <c r="A21" s="5" t="s">
        <v>74</v>
      </c>
      <c r="B21" s="5"/>
      <c r="C21" s="20"/>
      <c r="D21" s="20">
        <f>+D86+D70</f>
        <v>3356.969844081662</v>
      </c>
      <c r="E21" s="6"/>
      <c r="F21" s="8"/>
    </row>
    <row r="22" spans="1:6" ht="15.75">
      <c r="A22" s="5" t="s">
        <v>76</v>
      </c>
      <c r="B22" s="5"/>
      <c r="C22" s="20"/>
      <c r="D22" s="20">
        <f>SUM(D19:D21)</f>
        <v>33999.79920155764</v>
      </c>
      <c r="E22" s="6"/>
      <c r="F22" s="8"/>
    </row>
    <row r="23" spans="1:6" ht="15.75">
      <c r="A23" s="5"/>
      <c r="B23" s="5" t="s">
        <v>77</v>
      </c>
      <c r="C23" s="20"/>
      <c r="D23" s="20">
        <f>+D70+D80+D85</f>
        <v>3847.603898216674</v>
      </c>
      <c r="E23" s="6"/>
      <c r="F23" s="8"/>
    </row>
    <row r="24" spans="1:6" ht="15.75">
      <c r="A24" s="5" t="s">
        <v>406</v>
      </c>
      <c r="B24" s="5"/>
      <c r="C24" s="20"/>
      <c r="D24" s="20">
        <f>+D34</f>
        <v>22029.064645968116</v>
      </c>
      <c r="E24" s="66">
        <f>+D24/$E$7</f>
        <v>115.21940872966627</v>
      </c>
      <c r="F24" s="8">
        <f>+F34</f>
        <v>0.3432244377553706</v>
      </c>
    </row>
    <row r="25" spans="1:6" ht="15.75">
      <c r="A25" s="5" t="s">
        <v>408</v>
      </c>
      <c r="B25" s="5"/>
      <c r="C25" s="20"/>
      <c r="D25" s="20">
        <f>+'Bilancio compilato'!D7</f>
        <v>1263</v>
      </c>
      <c r="E25" s="66"/>
      <c r="F25" s="8"/>
    </row>
    <row r="26" spans="1:6" ht="15.75">
      <c r="A26" s="5" t="s">
        <v>407</v>
      </c>
      <c r="B26" s="5"/>
      <c r="C26" s="20"/>
      <c r="D26" s="20">
        <f>+D24+D25</f>
        <v>23292.064645968116</v>
      </c>
      <c r="E26" s="66">
        <f>+D26/$E$7</f>
        <v>121.82532303262343</v>
      </c>
      <c r="F26" s="8">
        <f>+F35</f>
        <v>0.2923051056290379</v>
      </c>
    </row>
    <row r="27" spans="1:6" ht="15.75">
      <c r="A27" s="5" t="s">
        <v>78</v>
      </c>
      <c r="B27" s="5"/>
      <c r="C27" s="20"/>
      <c r="D27" s="20">
        <f>+D36</f>
        <v>-6860.130657372829</v>
      </c>
      <c r="E27" s="66">
        <f>+D27/$E$7</f>
        <v>-35.88078798867301</v>
      </c>
      <c r="F27" s="8">
        <f>+F36</f>
        <v>-0.10688445132127367</v>
      </c>
    </row>
    <row r="28" spans="1:6" ht="15.75">
      <c r="A28" s="5"/>
      <c r="B28" s="5"/>
      <c r="C28" s="20"/>
      <c r="D28" s="20"/>
      <c r="E28" s="6"/>
      <c r="F28" s="8"/>
    </row>
    <row r="29" spans="1:6" ht="15.75">
      <c r="A29" s="5" t="str">
        <f>+A89</f>
        <v>          COSTI TOTALI</v>
      </c>
      <c r="B29" s="5"/>
      <c r="C29" s="20"/>
      <c r="D29" s="20">
        <f>+D89</f>
        <v>72305.81179171876</v>
      </c>
      <c r="E29" s="66">
        <f aca="true" t="shared" si="0" ref="E29:E36">+D29/$E$7</f>
        <v>378.1836866997964</v>
      </c>
      <c r="F29" s="8">
        <f>+E29/E13</f>
        <v>1.1265626569941765</v>
      </c>
    </row>
    <row r="30" spans="1:7" ht="15.75">
      <c r="A30" s="5" t="s">
        <v>11</v>
      </c>
      <c r="B30" s="5"/>
      <c r="C30" s="20"/>
      <c r="D30" s="20">
        <f>+C53+C63+C68+D70+D74+D83+D86</f>
        <v>36892.99075025694</v>
      </c>
      <c r="E30" s="66">
        <f t="shared" si="0"/>
        <v>192.9627357687951</v>
      </c>
      <c r="F30" s="8">
        <f>+E30/$E$29</f>
        <v>0.510235482267033</v>
      </c>
      <c r="G30" s="59"/>
    </row>
    <row r="31" spans="1:6" ht="15.75">
      <c r="A31" s="5" t="s">
        <v>12</v>
      </c>
      <c r="B31" s="5"/>
      <c r="C31" s="20"/>
      <c r="D31" s="20">
        <f>+D89-D30</f>
        <v>35412.82104146182</v>
      </c>
      <c r="E31" s="66">
        <f t="shared" si="0"/>
        <v>185.22095093100128</v>
      </c>
      <c r="F31" s="8">
        <f>+E31/$E$29</f>
        <v>0.48976451773296703</v>
      </c>
    </row>
    <row r="32" spans="1:6" ht="15.75">
      <c r="A32" s="5" t="s">
        <v>13</v>
      </c>
      <c r="B32" s="5"/>
      <c r="C32" s="20"/>
      <c r="D32" s="20">
        <f>+D44+D58+D59+D71+D74+D80+D84+D85+D81+D82</f>
        <v>42153.61648837782</v>
      </c>
      <c r="E32" s="66">
        <f t="shared" si="0"/>
        <v>220.47757567849996</v>
      </c>
      <c r="F32" s="8">
        <f>+E32/$E$29</f>
        <v>0.5829907090982375</v>
      </c>
    </row>
    <row r="33" spans="1:6" ht="15.75">
      <c r="A33" s="5" t="s">
        <v>14</v>
      </c>
      <c r="B33" s="5"/>
      <c r="C33" s="20"/>
      <c r="D33" s="20">
        <f>+D89-D32</f>
        <v>30152.195303340945</v>
      </c>
      <c r="E33" s="66">
        <f t="shared" si="0"/>
        <v>157.70611102129644</v>
      </c>
      <c r="F33" s="8">
        <f>+E33/$E$29</f>
        <v>0.4170092909017626</v>
      </c>
    </row>
    <row r="34" spans="1:6" ht="15.75">
      <c r="A34" s="5" t="s">
        <v>15</v>
      </c>
      <c r="B34" s="5"/>
      <c r="C34" s="20"/>
      <c r="D34" s="20">
        <f>+D7-D32</f>
        <v>22029.064645968116</v>
      </c>
      <c r="E34" s="66">
        <f t="shared" si="0"/>
        <v>115.21940872966627</v>
      </c>
      <c r="F34" s="8">
        <f>+E34/$E$13</f>
        <v>0.3432244377553706</v>
      </c>
    </row>
    <row r="35" spans="1:6" ht="15.75">
      <c r="A35" s="5" t="s">
        <v>16</v>
      </c>
      <c r="B35" s="5"/>
      <c r="C35" s="20"/>
      <c r="D35" s="20">
        <f>+D34-D86-D87+D80</f>
        <v>18760.925388529846</v>
      </c>
      <c r="E35" s="66">
        <f t="shared" si="0"/>
        <v>98.12594248677853</v>
      </c>
      <c r="F35" s="8">
        <f>+E35/$E$13</f>
        <v>0.2923051056290379</v>
      </c>
    </row>
    <row r="36" spans="1:6" ht="15.75">
      <c r="A36" s="9" t="s">
        <v>17</v>
      </c>
      <c r="B36" s="9"/>
      <c r="C36" s="21"/>
      <c r="D36" s="21">
        <f>+D7-D89+D25</f>
        <v>-6860.130657372829</v>
      </c>
      <c r="E36" s="124">
        <f t="shared" si="0"/>
        <v>-35.88078798867301</v>
      </c>
      <c r="F36" s="12">
        <f>+E36/$E$13</f>
        <v>-0.10688445132127367</v>
      </c>
    </row>
    <row r="37" spans="1:6" ht="15">
      <c r="A37" s="13" t="s">
        <v>8</v>
      </c>
      <c r="B37" s="14"/>
      <c r="C37" s="14"/>
      <c r="D37" s="15"/>
      <c r="E37" s="14"/>
      <c r="F37" s="14"/>
    </row>
    <row r="38" spans="1:6" ht="15">
      <c r="A38" s="13"/>
      <c r="B38" s="14"/>
      <c r="C38" s="14"/>
      <c r="D38" s="14"/>
      <c r="E38" s="14"/>
      <c r="F38" s="14"/>
    </row>
    <row r="39" spans="1:6" ht="15">
      <c r="A39" s="13"/>
      <c r="B39" s="14"/>
      <c r="C39" s="14"/>
      <c r="D39" s="14"/>
      <c r="E39" s="14"/>
      <c r="F39" s="14"/>
    </row>
    <row r="40" spans="1:6" ht="22.5" customHeight="1">
      <c r="A40" s="1" t="s">
        <v>67</v>
      </c>
      <c r="B40" s="5"/>
      <c r="C40" s="5"/>
      <c r="D40" s="5"/>
      <c r="E40" s="5"/>
      <c r="F40" s="5"/>
    </row>
    <row r="41" spans="1:6" ht="19.5" customHeight="1">
      <c r="A41" s="17" t="s">
        <v>18</v>
      </c>
      <c r="B41" s="17"/>
      <c r="C41" s="158" t="s">
        <v>343</v>
      </c>
      <c r="D41" s="158"/>
      <c r="E41" s="19" t="s">
        <v>399</v>
      </c>
      <c r="F41" s="19" t="s">
        <v>3</v>
      </c>
    </row>
    <row r="42" spans="1:6" ht="15.75">
      <c r="A42" s="5" t="s">
        <v>19</v>
      </c>
      <c r="B42" s="5"/>
      <c r="C42" s="20"/>
      <c r="D42" s="20">
        <v>13324.587996508752</v>
      </c>
      <c r="E42" s="66">
        <f>+D42/$E$7</f>
        <v>69.69207159710875</v>
      </c>
      <c r="F42" s="8">
        <f>+E42/$E$89</f>
        <v>0.18428100959423607</v>
      </c>
    </row>
    <row r="43" spans="1:6" ht="15.75">
      <c r="A43" s="5" t="s">
        <v>20</v>
      </c>
      <c r="B43" s="5"/>
      <c r="C43" s="20"/>
      <c r="D43" s="20">
        <v>9993.440997381564</v>
      </c>
      <c r="E43" s="66">
        <f>+D43/$E$7</f>
        <v>52.26905369783156</v>
      </c>
      <c r="F43" s="8">
        <f>+E43/$E$89</f>
        <v>0.13821075719567705</v>
      </c>
    </row>
    <row r="44" spans="1:6" ht="15.75">
      <c r="A44" s="5" t="s">
        <v>21</v>
      </c>
      <c r="B44" s="5"/>
      <c r="C44" s="20"/>
      <c r="D44" s="20">
        <f>+D42+D43</f>
        <v>23318.028993890315</v>
      </c>
      <c r="E44" s="66">
        <f>+D44/$E$7</f>
        <v>121.9611252949403</v>
      </c>
      <c r="F44" s="8">
        <f>+E44/$E$89</f>
        <v>0.3224917667899131</v>
      </c>
    </row>
    <row r="45" spans="1:5" ht="15">
      <c r="A45" s="14" t="s">
        <v>22</v>
      </c>
      <c r="B45" s="14"/>
      <c r="C45" s="15">
        <v>278.88672550832274</v>
      </c>
      <c r="D45" s="15"/>
      <c r="E45" s="14"/>
    </row>
    <row r="46" spans="1:6" ht="15">
      <c r="A46" s="14" t="s">
        <v>23</v>
      </c>
      <c r="B46" s="14"/>
      <c r="C46" s="15">
        <v>347.05903618813494</v>
      </c>
      <c r="D46" s="15"/>
      <c r="E46" s="14"/>
      <c r="F46" s="14"/>
    </row>
    <row r="47" spans="1:6" ht="15">
      <c r="A47" s="14" t="s">
        <v>82</v>
      </c>
      <c r="B47" s="14"/>
      <c r="C47" s="15">
        <v>77.46853486342297</v>
      </c>
      <c r="D47" s="15"/>
      <c r="E47" s="14"/>
      <c r="F47" s="14"/>
    </row>
    <row r="48" spans="1:6" ht="15">
      <c r="A48" s="14" t="s">
        <v>25</v>
      </c>
      <c r="B48" s="14"/>
      <c r="C48" s="15">
        <v>547.4443130348557</v>
      </c>
      <c r="D48" s="15"/>
      <c r="E48" s="14"/>
      <c r="F48" s="14"/>
    </row>
    <row r="49" spans="1:6" ht="15">
      <c r="A49" s="14" t="s">
        <v>26</v>
      </c>
      <c r="B49" s="14"/>
      <c r="C49" s="15">
        <v>0</v>
      </c>
      <c r="D49" s="15"/>
      <c r="E49" s="14"/>
      <c r="F49" s="14"/>
    </row>
    <row r="50" spans="1:6" ht="15.75">
      <c r="A50" s="5" t="s">
        <v>27</v>
      </c>
      <c r="B50" s="5"/>
      <c r="C50" s="20"/>
      <c r="D50" s="20">
        <f>SUM(C45:C49)</f>
        <v>1250.8586095947362</v>
      </c>
      <c r="E50" s="66">
        <f>+D50/$E$7</f>
        <v>6.542410752255712</v>
      </c>
      <c r="F50" s="8">
        <f>+E50/$E$89</f>
        <v>0.01729955834252867</v>
      </c>
    </row>
    <row r="51" spans="1:6" ht="15">
      <c r="A51" s="14" t="s">
        <v>28</v>
      </c>
      <c r="B51" s="14"/>
      <c r="C51" s="15">
        <v>1032.913798178973</v>
      </c>
      <c r="D51" s="15"/>
      <c r="E51" s="15"/>
      <c r="F51" s="14"/>
    </row>
    <row r="52" spans="1:6" ht="15">
      <c r="A52" s="14" t="s">
        <v>29</v>
      </c>
      <c r="B52" s="14"/>
      <c r="C52" s="15">
        <v>103.2913798178973</v>
      </c>
      <c r="D52" s="15"/>
      <c r="E52" s="15"/>
      <c r="F52" s="14"/>
    </row>
    <row r="53" spans="1:6" ht="15">
      <c r="A53" s="14" t="s">
        <v>30</v>
      </c>
      <c r="B53" s="14"/>
      <c r="C53" s="15">
        <v>2107.144148285105</v>
      </c>
      <c r="D53" s="15"/>
      <c r="E53" s="15"/>
      <c r="F53" s="14"/>
    </row>
    <row r="54" spans="1:6" ht="15">
      <c r="A54" s="14" t="s">
        <v>31</v>
      </c>
      <c r="B54" s="14"/>
      <c r="C54" s="15">
        <v>702.3813827617017</v>
      </c>
      <c r="D54" s="15"/>
      <c r="E54" s="15"/>
      <c r="F54" s="14"/>
    </row>
    <row r="55" spans="1:6" ht="15">
      <c r="A55" s="14" t="s">
        <v>26</v>
      </c>
      <c r="B55" s="14"/>
      <c r="C55" s="15">
        <v>0</v>
      </c>
      <c r="D55" s="15"/>
      <c r="E55" s="15"/>
      <c r="F55" s="14"/>
    </row>
    <row r="56" spans="1:6" ht="15.75">
      <c r="A56" s="5" t="s">
        <v>32</v>
      </c>
      <c r="B56" s="5"/>
      <c r="C56" s="20"/>
      <c r="D56" s="20">
        <f>SUM(C51:C55)</f>
        <v>3945.730709043677</v>
      </c>
      <c r="E56" s="66">
        <f>+D56/$E$7</f>
        <v>20.637497170616697</v>
      </c>
      <c r="F56" s="8">
        <f>+E56/$E$89</f>
        <v>0.05457003539922339</v>
      </c>
    </row>
    <row r="57" spans="1:6" ht="15.75">
      <c r="A57" s="5" t="s">
        <v>33</v>
      </c>
      <c r="B57" s="5"/>
      <c r="C57" s="20"/>
      <c r="D57" s="20">
        <v>0</v>
      </c>
      <c r="E57" s="66">
        <f>+D57/$E$7</f>
        <v>0</v>
      </c>
      <c r="F57" s="8">
        <f>+E57/$E$89</f>
        <v>0</v>
      </c>
    </row>
    <row r="58" spans="1:6" ht="15.75">
      <c r="A58" s="5" t="s">
        <v>34</v>
      </c>
      <c r="B58" s="5"/>
      <c r="C58" s="20"/>
      <c r="D58" s="20">
        <f>+D56+D50+D57</f>
        <v>5196.589318638413</v>
      </c>
      <c r="E58" s="66">
        <f>+D58/$E$7</f>
        <v>27.17990792287241</v>
      </c>
      <c r="F58" s="8">
        <f>+E58/$E$89</f>
        <v>0.07186959374175206</v>
      </c>
    </row>
    <row r="59" spans="1:6" ht="15.75">
      <c r="A59" s="5" t="s">
        <v>35</v>
      </c>
      <c r="B59" s="5"/>
      <c r="C59" s="20"/>
      <c r="D59" s="20">
        <v>2695.9050132471198</v>
      </c>
      <c r="E59" s="66">
        <f>+D59/$E$7</f>
        <v>14.100488904531305</v>
      </c>
      <c r="F59" s="8">
        <f>+E59/$E$89</f>
        <v>0.03728476240627567</v>
      </c>
    </row>
    <row r="60" spans="1:6" ht="15">
      <c r="A60" s="14" t="s">
        <v>36</v>
      </c>
      <c r="B60" s="14"/>
      <c r="C60" s="15">
        <v>588.7608649620146</v>
      </c>
      <c r="D60" s="15"/>
      <c r="E60" s="15"/>
      <c r="F60" s="14"/>
    </row>
    <row r="61" spans="1:6" ht="15">
      <c r="A61" s="14" t="s">
        <v>37</v>
      </c>
      <c r="B61" s="14"/>
      <c r="C61" s="15">
        <v>0</v>
      </c>
      <c r="D61" s="15"/>
      <c r="E61" s="15"/>
      <c r="F61" s="14"/>
    </row>
    <row r="62" spans="1:6" ht="15">
      <c r="A62" s="14" t="s">
        <v>38</v>
      </c>
      <c r="B62" s="14"/>
      <c r="C62" s="15">
        <v>0</v>
      </c>
      <c r="D62" s="15"/>
      <c r="E62" s="15"/>
      <c r="F62" s="14"/>
    </row>
    <row r="63" spans="1:6" ht="15">
      <c r="A63" s="14" t="s">
        <v>39</v>
      </c>
      <c r="B63" s="14"/>
      <c r="C63" s="15">
        <v>275.27152721469633</v>
      </c>
      <c r="D63" s="15"/>
      <c r="E63" s="15"/>
      <c r="F63" s="14"/>
    </row>
    <row r="64" spans="1:6" ht="15">
      <c r="A64" s="14" t="s">
        <v>40</v>
      </c>
      <c r="B64" s="14"/>
      <c r="C64" s="15">
        <v>0</v>
      </c>
      <c r="D64" s="15"/>
      <c r="E64" s="15"/>
      <c r="F64" s="14"/>
    </row>
    <row r="65" spans="1:6" ht="15">
      <c r="A65" s="14" t="s">
        <v>41</v>
      </c>
      <c r="B65" s="14"/>
      <c r="C65" s="15">
        <v>206.5827596357946</v>
      </c>
      <c r="D65" s="15"/>
      <c r="E65" s="15"/>
      <c r="F65" s="14"/>
    </row>
    <row r="66" spans="1:6" ht="15">
      <c r="A66" s="14" t="s">
        <v>42</v>
      </c>
      <c r="B66" s="14"/>
      <c r="C66" s="15">
        <v>0</v>
      </c>
      <c r="D66" s="15"/>
      <c r="E66" s="15"/>
      <c r="F66" s="14"/>
    </row>
    <row r="67" spans="1:6" ht="15">
      <c r="A67" s="14" t="s">
        <v>346</v>
      </c>
      <c r="B67" s="14"/>
      <c r="C67" s="15">
        <f>+'Bilancio compilato'!D27+'Bilancio compilato'!D28</f>
        <v>1755.3249278</v>
      </c>
      <c r="D67" s="15"/>
      <c r="E67" s="15"/>
      <c r="F67" s="14"/>
    </row>
    <row r="68" spans="1:6" ht="15">
      <c r="A68" s="14" t="s">
        <v>43</v>
      </c>
      <c r="B68" s="14"/>
      <c r="C68" s="15">
        <v>206.5827596357946</v>
      </c>
      <c r="D68" s="15"/>
      <c r="E68" s="15"/>
      <c r="F68" s="14"/>
    </row>
    <row r="69" spans="1:6" ht="15.75">
      <c r="A69" s="5" t="s">
        <v>44</v>
      </c>
      <c r="B69" s="5"/>
      <c r="C69" s="20"/>
      <c r="D69" s="20">
        <f>SUM(C60:C68)</f>
        <v>3032.5228392483</v>
      </c>
      <c r="E69" s="66">
        <f aca="true" t="shared" si="1" ref="E69:E74">+D69/$E$7</f>
        <v>15.861113220771637</v>
      </c>
      <c r="F69" s="8">
        <f aca="true" t="shared" si="2" ref="F69:F74">+E69/$E$89</f>
        <v>0.041940236394602204</v>
      </c>
    </row>
    <row r="70" spans="1:6" ht="15.75">
      <c r="A70" s="5" t="s">
        <v>45</v>
      </c>
      <c r="B70" s="5"/>
      <c r="C70" s="20"/>
      <c r="D70" s="20">
        <v>1342.7879376326648</v>
      </c>
      <c r="E70" s="66">
        <f t="shared" si="1"/>
        <v>7.023232021414059</v>
      </c>
      <c r="F70" s="8">
        <f t="shared" si="2"/>
        <v>0.01857095445523309</v>
      </c>
    </row>
    <row r="71" spans="1:6" ht="15.75">
      <c r="A71" s="5" t="s">
        <v>46</v>
      </c>
      <c r="B71" s="5"/>
      <c r="C71" s="20"/>
      <c r="D71" s="20">
        <f>+D70+D69</f>
        <v>4375.310776880965</v>
      </c>
      <c r="E71" s="66">
        <f t="shared" si="1"/>
        <v>22.884345242185695</v>
      </c>
      <c r="F71" s="8">
        <f t="shared" si="2"/>
        <v>0.06051119084983529</v>
      </c>
    </row>
    <row r="72" spans="1:6" ht="15.75">
      <c r="A72" s="5" t="s">
        <v>47</v>
      </c>
      <c r="B72" s="5"/>
      <c r="C72" s="20"/>
      <c r="D72" s="20">
        <v>551.0595113284821</v>
      </c>
      <c r="E72" s="66">
        <f t="shared" si="1"/>
        <v>2.882226371864924</v>
      </c>
      <c r="F72" s="8">
        <f t="shared" si="2"/>
        <v>0.007621234001436042</v>
      </c>
    </row>
    <row r="73" spans="1:6" ht="15.75">
      <c r="A73" s="5" t="s">
        <v>48</v>
      </c>
      <c r="B73" s="5"/>
      <c r="C73" s="20"/>
      <c r="D73" s="20">
        <v>3511.9069138085083</v>
      </c>
      <c r="E73" s="66">
        <f t="shared" si="1"/>
        <v>18.368452979082925</v>
      </c>
      <c r="F73" s="8">
        <f t="shared" si="2"/>
        <v>0.04857018857522501</v>
      </c>
    </row>
    <row r="74" spans="1:6" ht="15.75">
      <c r="A74" s="5" t="s">
        <v>49</v>
      </c>
      <c r="B74" s="5"/>
      <c r="C74" s="20"/>
      <c r="D74" s="20">
        <f>+D73+D72</f>
        <v>4062.9664251369904</v>
      </c>
      <c r="E74" s="66">
        <f t="shared" si="1"/>
        <v>21.25067935094785</v>
      </c>
      <c r="F74" s="8">
        <f t="shared" si="2"/>
        <v>0.05619142257666105</v>
      </c>
    </row>
    <row r="75" spans="1:6" ht="15">
      <c r="A75" s="14" t="s">
        <v>50</v>
      </c>
      <c r="B75" s="14"/>
      <c r="C75" s="15"/>
      <c r="D75" s="15"/>
      <c r="E75" s="14"/>
      <c r="F75" s="14"/>
    </row>
    <row r="76" spans="1:6" ht="15">
      <c r="A76" s="14" t="s">
        <v>344</v>
      </c>
      <c r="B76" s="14"/>
      <c r="C76" s="15">
        <f>2480*7</f>
        <v>17360</v>
      </c>
      <c r="D76" s="15"/>
      <c r="E76" s="14"/>
      <c r="F76" s="14"/>
    </row>
    <row r="77" spans="1:6" ht="15">
      <c r="A77" s="14" t="s">
        <v>52</v>
      </c>
      <c r="B77" s="14"/>
      <c r="C77" s="15"/>
      <c r="D77" s="15"/>
      <c r="E77" s="14"/>
      <c r="F77" s="14"/>
    </row>
    <row r="78" spans="1:6" ht="15">
      <c r="A78" s="14" t="s">
        <v>345</v>
      </c>
      <c r="B78" s="14"/>
      <c r="C78" s="15">
        <f>1200*6</f>
        <v>7200</v>
      </c>
      <c r="D78" s="15"/>
      <c r="E78" s="14"/>
      <c r="F78" s="14"/>
    </row>
    <row r="79" spans="1:6" ht="15.75">
      <c r="A79" s="5" t="s">
        <v>53</v>
      </c>
      <c r="B79" s="5"/>
      <c r="C79" s="20"/>
      <c r="D79" s="20">
        <f>+C76+C78</f>
        <v>24560</v>
      </c>
      <c r="E79" s="66">
        <f aca="true" t="shared" si="3" ref="E79:E89">+D79/$E$7</f>
        <v>128.4570508951921</v>
      </c>
      <c r="F79" s="8">
        <f>+E79/$E$89</f>
        <v>0.3396684082705074</v>
      </c>
    </row>
    <row r="80" spans="1:6" ht="15.75">
      <c r="A80" s="5" t="s">
        <v>54</v>
      </c>
      <c r="B80" s="5"/>
      <c r="C80" s="20"/>
      <c r="D80" s="20">
        <v>2324.056045902689</v>
      </c>
      <c r="E80" s="66">
        <f t="shared" si="3"/>
        <v>12.15559388321664</v>
      </c>
      <c r="F80" s="8">
        <f>+E80/$E$89</f>
        <v>0.03214203655713419</v>
      </c>
    </row>
    <row r="81" spans="1:6" ht="15.75">
      <c r="A81" s="5" t="s">
        <v>55</v>
      </c>
      <c r="B81" s="5"/>
      <c r="C81" s="20"/>
      <c r="D81" s="20">
        <v>0</v>
      </c>
      <c r="E81" s="66">
        <f t="shared" si="3"/>
        <v>0</v>
      </c>
      <c r="F81" s="8"/>
    </row>
    <row r="82" spans="1:6" ht="15.75">
      <c r="A82" s="5" t="s">
        <v>56</v>
      </c>
      <c r="B82" s="5"/>
      <c r="C82" s="20"/>
      <c r="D82" s="20">
        <v>0</v>
      </c>
      <c r="E82" s="66">
        <f t="shared" si="3"/>
        <v>0</v>
      </c>
      <c r="F82" s="8"/>
    </row>
    <row r="83" spans="1:9" ht="15.75">
      <c r="A83" s="5" t="s">
        <v>57</v>
      </c>
      <c r="B83" s="5"/>
      <c r="C83" s="20"/>
      <c r="D83" s="20">
        <f>SUM(D79:D82)</f>
        <v>26884.05604590269</v>
      </c>
      <c r="E83" s="66">
        <f t="shared" si="3"/>
        <v>140.61264477840876</v>
      </c>
      <c r="F83" s="8">
        <f aca="true" t="shared" si="4" ref="F83:F89">+E83/$E$89</f>
        <v>0.37181044482764164</v>
      </c>
      <c r="I83" s="22"/>
    </row>
    <row r="84" spans="1:6" ht="15.75">
      <c r="A84" s="5" t="s">
        <v>58</v>
      </c>
      <c r="B84" s="5"/>
      <c r="C84" s="20"/>
      <c r="D84" s="20">
        <v>0</v>
      </c>
      <c r="E84" s="66">
        <f t="shared" si="3"/>
        <v>0</v>
      </c>
      <c r="F84" s="8">
        <f t="shared" si="4"/>
        <v>0</v>
      </c>
    </row>
    <row r="85" spans="1:6" ht="15.75">
      <c r="A85" s="5" t="s">
        <v>59</v>
      </c>
      <c r="B85" s="5"/>
      <c r="C85" s="20"/>
      <c r="D85" s="20">
        <v>180.75991468132028</v>
      </c>
      <c r="E85" s="66">
        <f t="shared" si="3"/>
        <v>0.9454350798057388</v>
      </c>
      <c r="F85" s="8">
        <f t="shared" si="4"/>
        <v>0.0024999361766659934</v>
      </c>
    </row>
    <row r="86" spans="1:6" ht="15.75">
      <c r="A86" s="5" t="s">
        <v>60</v>
      </c>
      <c r="B86" s="5"/>
      <c r="C86" s="20"/>
      <c r="D86" s="20">
        <v>2014.1819064489973</v>
      </c>
      <c r="E86" s="66">
        <f t="shared" si="3"/>
        <v>10.53484803212109</v>
      </c>
      <c r="F86" s="8">
        <f t="shared" si="4"/>
        <v>0.02785643168284964</v>
      </c>
    </row>
    <row r="87" spans="1:6" ht="15.75">
      <c r="A87" s="5" t="s">
        <v>61</v>
      </c>
      <c r="B87" s="5"/>
      <c r="C87" s="20"/>
      <c r="D87" s="20">
        <v>3578.0133968919627</v>
      </c>
      <c r="E87" s="66">
        <f t="shared" si="3"/>
        <v>18.71421209398331</v>
      </c>
      <c r="F87" s="8">
        <f t="shared" si="4"/>
        <v>0.049484450948405714</v>
      </c>
    </row>
    <row r="88" spans="1:6" ht="15.75">
      <c r="A88" s="5" t="s">
        <v>62</v>
      </c>
      <c r="B88" s="5"/>
      <c r="C88" s="20"/>
      <c r="D88" s="20">
        <f>SUM(D84:D87)</f>
        <v>5772.95521802228</v>
      </c>
      <c r="E88" s="66">
        <f t="shared" si="3"/>
        <v>30.194495205910137</v>
      </c>
      <c r="F88" s="8">
        <f t="shared" si="4"/>
        <v>0.07984081880792135</v>
      </c>
    </row>
    <row r="89" spans="1:6" ht="15.75">
      <c r="A89" s="9" t="s">
        <v>63</v>
      </c>
      <c r="B89" s="9"/>
      <c r="C89" s="9"/>
      <c r="D89" s="10">
        <f>+D88+D83+D74+D71+D59+D58+D44</f>
        <v>72305.81179171876</v>
      </c>
      <c r="E89" s="124">
        <f t="shared" si="3"/>
        <v>378.1836866997964</v>
      </c>
      <c r="F89" s="12">
        <f t="shared" si="4"/>
        <v>1</v>
      </c>
    </row>
    <row r="90" spans="1:7" ht="15">
      <c r="A90" s="13" t="s">
        <v>8</v>
      </c>
      <c r="B90"/>
      <c r="C90"/>
      <c r="D90" s="23"/>
      <c r="E90"/>
      <c r="F90"/>
      <c r="G90" s="24"/>
    </row>
    <row r="91" spans="1:7" ht="15">
      <c r="A91"/>
      <c r="B91"/>
      <c r="C91"/>
      <c r="D91" s="23"/>
      <c r="E91"/>
      <c r="F91"/>
      <c r="G91" s="24"/>
    </row>
    <row r="92" spans="1:7" ht="15">
      <c r="A92"/>
      <c r="B92"/>
      <c r="C92"/>
      <c r="D92"/>
      <c r="E92"/>
      <c r="F92"/>
      <c r="G92" s="24"/>
    </row>
    <row r="93" spans="1:6" ht="15">
      <c r="A93"/>
      <c r="B93"/>
      <c r="C93"/>
      <c r="D93"/>
      <c r="E93"/>
      <c r="F93"/>
    </row>
    <row r="94" spans="1:8" ht="15">
      <c r="A94"/>
      <c r="B94"/>
      <c r="C94"/>
      <c r="D94"/>
      <c r="E94"/>
      <c r="F94"/>
      <c r="H94" s="24"/>
    </row>
    <row r="95" spans="1:6" ht="15">
      <c r="A95"/>
      <c r="B95"/>
      <c r="C95"/>
      <c r="D95"/>
      <c r="E95"/>
      <c r="F95"/>
    </row>
    <row r="96" spans="1:6" ht="15">
      <c r="A96"/>
      <c r="B96"/>
      <c r="C96"/>
      <c r="D96"/>
      <c r="E96"/>
      <c r="F96"/>
    </row>
    <row r="97" spans="1:6" ht="15">
      <c r="A97"/>
      <c r="B97"/>
      <c r="C97"/>
      <c r="D97"/>
      <c r="E97"/>
      <c r="F97"/>
    </row>
    <row r="98" spans="1:6" ht="15">
      <c r="A98"/>
      <c r="B98"/>
      <c r="C98"/>
      <c r="D98"/>
      <c r="E98"/>
      <c r="F98"/>
    </row>
    <row r="99" spans="1:6" ht="15">
      <c r="A99"/>
      <c r="B99"/>
      <c r="C99"/>
      <c r="D99"/>
      <c r="E99"/>
      <c r="F99"/>
    </row>
    <row r="100" spans="1:6" ht="15">
      <c r="A100"/>
      <c r="B100"/>
      <c r="C100"/>
      <c r="D100"/>
      <c r="E100"/>
      <c r="F100"/>
    </row>
    <row r="101" spans="1:6" ht="15">
      <c r="A101"/>
      <c r="B101"/>
      <c r="C101"/>
      <c r="D101"/>
      <c r="E101"/>
      <c r="F101"/>
    </row>
    <row r="102" spans="1:6" ht="15">
      <c r="A102"/>
      <c r="B102"/>
      <c r="C102"/>
      <c r="D102"/>
      <c r="E102"/>
      <c r="F102"/>
    </row>
  </sheetData>
  <mergeCells count="1">
    <mergeCell ref="C41:D41"/>
  </mergeCells>
  <printOptions horizontalCentered="1" verticalCentered="1"/>
  <pageMargins left="0.7874015748031497" right="0.7874015748031497" top="0.72" bottom="0.66" header="0.5118110236220472" footer="0.5118110236220472"/>
  <pageSetup fitToHeight="2" horizontalDpi="300" verticalDpi="300" orientation="portrait" paperSize="9" scale="91" r:id="rId1"/>
  <rowBreaks count="1" manualBreakCount="1">
    <brk id="3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3" max="3" width="10.28125" style="0" customWidth="1"/>
    <col min="4" max="4" width="10.140625" style="0" customWidth="1"/>
  </cols>
  <sheetData>
    <row r="1" ht="15">
      <c r="A1" s="100" t="s">
        <v>328</v>
      </c>
    </row>
    <row r="3" spans="1:8" ht="38.25">
      <c r="A3" s="120" t="s">
        <v>397</v>
      </c>
      <c r="B3" s="120" t="s">
        <v>329</v>
      </c>
      <c r="C3" s="120" t="s">
        <v>330</v>
      </c>
      <c r="D3" s="120" t="s">
        <v>331</v>
      </c>
      <c r="E3" s="120" t="s">
        <v>332</v>
      </c>
      <c r="F3" s="120" t="s">
        <v>333</v>
      </c>
      <c r="G3" s="120" t="s">
        <v>334</v>
      </c>
      <c r="H3" s="120" t="s">
        <v>335</v>
      </c>
    </row>
    <row r="4" spans="1:8" ht="12.75">
      <c r="A4" s="113">
        <v>0</v>
      </c>
      <c r="B4" s="125">
        <f>+'Costo produzione latte'!C3</f>
        <v>335.6969844081662</v>
      </c>
      <c r="C4" s="114">
        <f aca="true" t="shared" si="0" ref="C4:C13">+B4*A4</f>
        <v>0</v>
      </c>
      <c r="D4" s="114">
        <f>+'Costo produzione latte'!D30</f>
        <v>36892.99075025694</v>
      </c>
      <c r="E4" s="125">
        <f>+'Costo produzione latte'!E31</f>
        <v>185.22095093100128</v>
      </c>
      <c r="F4" s="114">
        <f aca="true" t="shared" si="1" ref="F4:F13">+E4*A4</f>
        <v>0</v>
      </c>
      <c r="G4" s="114">
        <f aca="true" t="shared" si="2" ref="G4:G13">+D4+F4</f>
        <v>36892.99075025694</v>
      </c>
      <c r="H4" s="115">
        <f aca="true" t="shared" si="3" ref="H4:H13">+C4-G4</f>
        <v>-36892.99075025694</v>
      </c>
    </row>
    <row r="5" spans="1:8" ht="12.75">
      <c r="A5" s="113">
        <v>30</v>
      </c>
      <c r="B5" s="125">
        <f>+B4</f>
        <v>335.6969844081662</v>
      </c>
      <c r="C5" s="114">
        <f t="shared" si="0"/>
        <v>10070.909532244987</v>
      </c>
      <c r="D5" s="114">
        <f>+D4</f>
        <v>36892.99075025694</v>
      </c>
      <c r="E5" s="125">
        <f>+E4</f>
        <v>185.22095093100128</v>
      </c>
      <c r="F5" s="114">
        <f t="shared" si="1"/>
        <v>5556.628527930038</v>
      </c>
      <c r="G5" s="114">
        <f t="shared" si="2"/>
        <v>42449.619278186976</v>
      </c>
      <c r="H5" s="115">
        <f t="shared" si="3"/>
        <v>-32378.70974594199</v>
      </c>
    </row>
    <row r="6" spans="1:8" ht="12.75">
      <c r="A6" s="113">
        <v>60</v>
      </c>
      <c r="B6" s="125">
        <f aca="true" t="shared" si="4" ref="B6:B13">+B5</f>
        <v>335.6969844081662</v>
      </c>
      <c r="C6" s="114">
        <f t="shared" si="0"/>
        <v>20141.819064489973</v>
      </c>
      <c r="D6" s="114">
        <f aca="true" t="shared" si="5" ref="D6:D13">+D5</f>
        <v>36892.99075025694</v>
      </c>
      <c r="E6" s="125">
        <f aca="true" t="shared" si="6" ref="E6:E13">+E5</f>
        <v>185.22095093100128</v>
      </c>
      <c r="F6" s="114">
        <f t="shared" si="1"/>
        <v>11113.257055860076</v>
      </c>
      <c r="G6" s="114">
        <f t="shared" si="2"/>
        <v>48006.24780611702</v>
      </c>
      <c r="H6" s="115">
        <f t="shared" si="3"/>
        <v>-27864.428741627045</v>
      </c>
    </row>
    <row r="7" spans="1:8" ht="12.75">
      <c r="A7" s="113">
        <v>90</v>
      </c>
      <c r="B7" s="125">
        <f t="shared" si="4"/>
        <v>335.6969844081662</v>
      </c>
      <c r="C7" s="114">
        <f t="shared" si="0"/>
        <v>30212.72859673496</v>
      </c>
      <c r="D7" s="114">
        <f t="shared" si="5"/>
        <v>36892.99075025694</v>
      </c>
      <c r="E7" s="125">
        <f t="shared" si="6"/>
        <v>185.22095093100128</v>
      </c>
      <c r="F7" s="114">
        <f t="shared" si="1"/>
        <v>16669.885583790114</v>
      </c>
      <c r="G7" s="114">
        <f t="shared" si="2"/>
        <v>53562.876334047054</v>
      </c>
      <c r="H7" s="115">
        <f t="shared" si="3"/>
        <v>-23350.147737312094</v>
      </c>
    </row>
    <row r="8" spans="1:8" ht="12.75">
      <c r="A8" s="113">
        <v>120</v>
      </c>
      <c r="B8" s="125">
        <f t="shared" si="4"/>
        <v>335.6969844081662</v>
      </c>
      <c r="C8" s="114">
        <f t="shared" si="0"/>
        <v>40283.63812897995</v>
      </c>
      <c r="D8" s="114">
        <f t="shared" si="5"/>
        <v>36892.99075025694</v>
      </c>
      <c r="E8" s="125">
        <f t="shared" si="6"/>
        <v>185.22095093100128</v>
      </c>
      <c r="F8" s="114">
        <f t="shared" si="1"/>
        <v>22226.514111720153</v>
      </c>
      <c r="G8" s="114">
        <f t="shared" si="2"/>
        <v>59119.5048619771</v>
      </c>
      <c r="H8" s="115">
        <f t="shared" si="3"/>
        <v>-18835.86673299715</v>
      </c>
    </row>
    <row r="9" spans="1:8" ht="12.75">
      <c r="A9" s="113">
        <v>150</v>
      </c>
      <c r="B9" s="125">
        <f t="shared" si="4"/>
        <v>335.6969844081662</v>
      </c>
      <c r="C9" s="114">
        <f t="shared" si="0"/>
        <v>50354.54766122493</v>
      </c>
      <c r="D9" s="114">
        <f t="shared" si="5"/>
        <v>36892.99075025694</v>
      </c>
      <c r="E9" s="125">
        <f t="shared" si="6"/>
        <v>185.22095093100128</v>
      </c>
      <c r="F9" s="114">
        <f t="shared" si="1"/>
        <v>27783.142639650192</v>
      </c>
      <c r="G9" s="114">
        <f t="shared" si="2"/>
        <v>64676.13338990713</v>
      </c>
      <c r="H9" s="115">
        <f t="shared" si="3"/>
        <v>-14321.5857286822</v>
      </c>
    </row>
    <row r="10" spans="1:8" ht="12.75">
      <c r="A10" s="113">
        <v>180</v>
      </c>
      <c r="B10" s="125">
        <f t="shared" si="4"/>
        <v>335.6969844081662</v>
      </c>
      <c r="C10" s="114">
        <f t="shared" si="0"/>
        <v>60425.45719346992</v>
      </c>
      <c r="D10" s="114">
        <f t="shared" si="5"/>
        <v>36892.99075025694</v>
      </c>
      <c r="E10" s="125">
        <f t="shared" si="6"/>
        <v>185.22095093100128</v>
      </c>
      <c r="F10" s="114">
        <f t="shared" si="1"/>
        <v>33339.77116758023</v>
      </c>
      <c r="G10" s="114">
        <f t="shared" si="2"/>
        <v>70232.76191783717</v>
      </c>
      <c r="H10" s="115">
        <f t="shared" si="3"/>
        <v>-9807.304724367248</v>
      </c>
    </row>
    <row r="11" spans="1:8" ht="12.75">
      <c r="A11" s="113">
        <v>210</v>
      </c>
      <c r="B11" s="125">
        <f t="shared" si="4"/>
        <v>335.6969844081662</v>
      </c>
      <c r="C11" s="114">
        <f t="shared" si="0"/>
        <v>70496.3667257149</v>
      </c>
      <c r="D11" s="114">
        <f t="shared" si="5"/>
        <v>36892.99075025694</v>
      </c>
      <c r="E11" s="125">
        <f t="shared" si="6"/>
        <v>185.22095093100128</v>
      </c>
      <c r="F11" s="114">
        <f t="shared" si="1"/>
        <v>38896.39969551027</v>
      </c>
      <c r="G11" s="114">
        <f t="shared" si="2"/>
        <v>75789.3904457672</v>
      </c>
      <c r="H11" s="115">
        <f t="shared" si="3"/>
        <v>-5293.023720052297</v>
      </c>
    </row>
    <row r="12" spans="1:8" ht="12.75">
      <c r="A12" s="113">
        <v>240</v>
      </c>
      <c r="B12" s="125">
        <f t="shared" si="4"/>
        <v>335.6969844081662</v>
      </c>
      <c r="C12" s="114">
        <f t="shared" si="0"/>
        <v>80567.2762579599</v>
      </c>
      <c r="D12" s="114">
        <f t="shared" si="5"/>
        <v>36892.99075025694</v>
      </c>
      <c r="E12" s="125">
        <f t="shared" si="6"/>
        <v>185.22095093100128</v>
      </c>
      <c r="F12" s="114">
        <f t="shared" si="1"/>
        <v>44453.028223440306</v>
      </c>
      <c r="G12" s="114">
        <f t="shared" si="2"/>
        <v>81346.01897369724</v>
      </c>
      <c r="H12" s="115">
        <f t="shared" si="3"/>
        <v>-778.7427157373459</v>
      </c>
    </row>
    <row r="13" spans="1:8" ht="12.75">
      <c r="A13" s="121">
        <v>270</v>
      </c>
      <c r="B13" s="126">
        <f t="shared" si="4"/>
        <v>335.6969844081662</v>
      </c>
      <c r="C13" s="122">
        <f t="shared" si="0"/>
        <v>90638.18579020488</v>
      </c>
      <c r="D13" s="122">
        <f t="shared" si="5"/>
        <v>36892.99075025694</v>
      </c>
      <c r="E13" s="126">
        <f t="shared" si="6"/>
        <v>185.22095093100128</v>
      </c>
      <c r="F13" s="122">
        <f t="shared" si="1"/>
        <v>50009.65675137035</v>
      </c>
      <c r="G13" s="122">
        <f t="shared" si="2"/>
        <v>86902.64750162729</v>
      </c>
      <c r="H13" s="123">
        <f t="shared" si="3"/>
        <v>3735.5382885775907</v>
      </c>
    </row>
    <row r="33" spans="1:3" ht="12.75">
      <c r="A33" s="117" t="s">
        <v>339</v>
      </c>
      <c r="B33" s="116" t="s">
        <v>336</v>
      </c>
      <c r="C33" s="117" t="s">
        <v>337</v>
      </c>
    </row>
    <row r="35" spans="2:7" ht="12.75">
      <c r="B35" s="116" t="s">
        <v>336</v>
      </c>
      <c r="C35" s="118" t="s">
        <v>409</v>
      </c>
      <c r="F35" s="119">
        <f>+D4/(B4-E4)</f>
        <v>245.17519433322607</v>
      </c>
      <c r="G35" s="117" t="s">
        <v>338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workbookViewId="0" topLeftCell="A1">
      <selection activeCell="A1" sqref="A1"/>
    </sheetView>
  </sheetViews>
  <sheetFormatPr defaultColWidth="9.140625" defaultRowHeight="12.75"/>
  <cols>
    <col min="1" max="1" width="20.140625" style="25" customWidth="1"/>
    <col min="2" max="2" width="21.28125" style="4" customWidth="1"/>
    <col min="3" max="3" width="26.57421875" style="4" customWidth="1"/>
    <col min="4" max="5" width="13.8515625" style="4" customWidth="1"/>
    <col min="6" max="16384" width="9.140625" style="4" customWidth="1"/>
  </cols>
  <sheetData>
    <row r="1" spans="2:5" ht="22.5" customHeight="1">
      <c r="B1" s="1" t="s">
        <v>342</v>
      </c>
      <c r="C1" s="5"/>
      <c r="D1" s="5"/>
      <c r="E1" s="5"/>
    </row>
    <row r="2" spans="1:5" ht="19.5" customHeight="1">
      <c r="A2" s="17"/>
      <c r="B2" s="17"/>
      <c r="C2" s="17"/>
      <c r="D2" s="19" t="s">
        <v>114</v>
      </c>
      <c r="E2" s="19" t="s">
        <v>115</v>
      </c>
    </row>
    <row r="3" spans="1:5" ht="15.75">
      <c r="A3" s="32" t="s">
        <v>121</v>
      </c>
      <c r="B3" s="17" t="s">
        <v>10</v>
      </c>
      <c r="C3" s="17"/>
      <c r="D3" s="43"/>
      <c r="E3" s="33"/>
    </row>
    <row r="4" spans="1:5" ht="15.75">
      <c r="A4" s="28"/>
      <c r="B4" s="41" t="s">
        <v>22</v>
      </c>
      <c r="C4" s="29"/>
      <c r="D4" s="31"/>
      <c r="E4" s="42"/>
    </row>
    <row r="5" spans="1:5" ht="15.75">
      <c r="A5" s="34"/>
      <c r="B5" s="35" t="s">
        <v>81</v>
      </c>
      <c r="C5" s="36"/>
      <c r="D5" s="37"/>
      <c r="E5" s="39"/>
    </row>
    <row r="6" spans="1:5" ht="15.75">
      <c r="A6" s="34"/>
      <c r="B6" s="35" t="s">
        <v>82</v>
      </c>
      <c r="C6" s="36"/>
      <c r="D6" s="37"/>
      <c r="E6" s="39"/>
    </row>
    <row r="7" spans="1:5" ht="15.75">
      <c r="A7" s="34"/>
      <c r="B7" s="35" t="s">
        <v>24</v>
      </c>
      <c r="C7" s="36"/>
      <c r="D7" s="37"/>
      <c r="E7" s="39"/>
    </row>
    <row r="8" spans="1:5" ht="15.75">
      <c r="A8" s="34"/>
      <c r="B8" s="35" t="s">
        <v>83</v>
      </c>
      <c r="C8" s="36"/>
      <c r="D8" s="37"/>
      <c r="E8" s="39"/>
    </row>
    <row r="9" spans="1:5" ht="15.75">
      <c r="A9" s="34"/>
      <c r="B9" s="35" t="s">
        <v>84</v>
      </c>
      <c r="C9" s="36"/>
      <c r="D9" s="37"/>
      <c r="E9" s="39"/>
    </row>
    <row r="10" spans="1:5" ht="15.75">
      <c r="A10" s="34"/>
      <c r="B10" s="35" t="s">
        <v>85</v>
      </c>
      <c r="C10" s="36"/>
      <c r="D10" s="37"/>
      <c r="E10" s="39"/>
    </row>
    <row r="11" spans="1:5" ht="15.75">
      <c r="A11" s="34"/>
      <c r="B11" s="35" t="s">
        <v>25</v>
      </c>
      <c r="C11" s="36"/>
      <c r="D11" s="37"/>
      <c r="E11" s="39"/>
    </row>
    <row r="12" spans="1:5" ht="15.75">
      <c r="A12" s="34"/>
      <c r="B12" s="35" t="s">
        <v>86</v>
      </c>
      <c r="C12" s="36"/>
      <c r="D12" s="37"/>
      <c r="E12" s="39"/>
    </row>
    <row r="13" spans="1:5" ht="15.75">
      <c r="A13" s="34"/>
      <c r="B13" s="35" t="s">
        <v>87</v>
      </c>
      <c r="C13" s="36"/>
      <c r="D13" s="37"/>
      <c r="E13" s="39"/>
    </row>
    <row r="14" spans="1:5" ht="15.75">
      <c r="A14" s="44" t="s">
        <v>116</v>
      </c>
      <c r="B14" s="45" t="s">
        <v>88</v>
      </c>
      <c r="C14" s="45"/>
      <c r="D14" s="40"/>
      <c r="E14" s="46"/>
    </row>
    <row r="15" spans="1:5" ht="15.75">
      <c r="A15" s="28"/>
      <c r="B15" s="41" t="s">
        <v>89</v>
      </c>
      <c r="C15" s="29"/>
      <c r="D15" s="31"/>
      <c r="E15" s="42"/>
    </row>
    <row r="16" spans="1:5" ht="15.75">
      <c r="A16" s="34"/>
      <c r="B16" s="35" t="s">
        <v>90</v>
      </c>
      <c r="C16" s="36"/>
      <c r="D16" s="37"/>
      <c r="E16" s="39"/>
    </row>
    <row r="17" spans="1:5" ht="15.75">
      <c r="A17" s="34"/>
      <c r="B17" s="35" t="s">
        <v>91</v>
      </c>
      <c r="C17" s="36"/>
      <c r="D17" s="37"/>
      <c r="E17" s="39"/>
    </row>
    <row r="18" spans="1:5" ht="15.75">
      <c r="A18" s="34"/>
      <c r="B18" s="35" t="s">
        <v>92</v>
      </c>
      <c r="C18" s="36"/>
      <c r="D18" s="37"/>
      <c r="E18" s="39"/>
    </row>
    <row r="19" spans="1:5" ht="15.75">
      <c r="A19" s="34"/>
      <c r="B19" s="35" t="s">
        <v>93</v>
      </c>
      <c r="C19" s="36"/>
      <c r="D19" s="37"/>
      <c r="E19" s="39"/>
    </row>
    <row r="20" spans="1:5" ht="15.75">
      <c r="A20" s="44" t="s">
        <v>117</v>
      </c>
      <c r="B20" s="45" t="s">
        <v>96</v>
      </c>
      <c r="C20" s="45"/>
      <c r="D20" s="46"/>
      <c r="E20" s="46"/>
    </row>
    <row r="21" spans="1:5" ht="15.75">
      <c r="A21" s="28"/>
      <c r="B21" s="41" t="s">
        <v>43</v>
      </c>
      <c r="C21" s="29"/>
      <c r="D21" s="31"/>
      <c r="E21" s="42"/>
    </row>
    <row r="22" spans="1:5" ht="15.75">
      <c r="A22" s="34"/>
      <c r="B22" s="35" t="s">
        <v>94</v>
      </c>
      <c r="C22" s="36"/>
      <c r="D22" s="37"/>
      <c r="E22" s="39"/>
    </row>
    <row r="23" spans="1:5" ht="15.75">
      <c r="A23" s="34"/>
      <c r="B23" s="35" t="s">
        <v>95</v>
      </c>
      <c r="C23" s="36"/>
      <c r="D23" s="37"/>
      <c r="E23" s="39"/>
    </row>
    <row r="24" spans="1:5" ht="15.75">
      <c r="A24" s="44" t="s">
        <v>118</v>
      </c>
      <c r="B24" s="45" t="s">
        <v>97</v>
      </c>
      <c r="C24" s="45"/>
      <c r="D24" s="46"/>
      <c r="E24" s="46"/>
    </row>
    <row r="25" spans="1:5" ht="15.75">
      <c r="A25" s="32" t="s">
        <v>119</v>
      </c>
      <c r="B25" s="17" t="s">
        <v>71</v>
      </c>
      <c r="C25" s="17"/>
      <c r="D25" s="43"/>
      <c r="E25" s="33"/>
    </row>
    <row r="26" spans="1:5" ht="15.75">
      <c r="A26" s="32" t="s">
        <v>120</v>
      </c>
      <c r="B26" s="17" t="s">
        <v>98</v>
      </c>
      <c r="C26" s="47"/>
      <c r="D26" s="43"/>
      <c r="E26" s="33"/>
    </row>
    <row r="27" spans="1:5" ht="15.75">
      <c r="A27" s="28"/>
      <c r="B27" s="41" t="s">
        <v>99</v>
      </c>
      <c r="C27" s="30"/>
      <c r="D27" s="31"/>
      <c r="E27" s="42"/>
    </row>
    <row r="28" spans="1:5" ht="15.75">
      <c r="A28" s="34"/>
      <c r="B28" s="35" t="s">
        <v>100</v>
      </c>
      <c r="C28" s="38"/>
      <c r="D28" s="37"/>
      <c r="E28" s="39"/>
    </row>
    <row r="29" spans="1:5" ht="15.75">
      <c r="A29" s="34"/>
      <c r="B29" s="35" t="s">
        <v>101</v>
      </c>
      <c r="C29" s="38"/>
      <c r="D29" s="37"/>
      <c r="E29" s="39"/>
    </row>
    <row r="30" spans="1:5" ht="15.75">
      <c r="A30" s="34"/>
      <c r="B30" s="35" t="s">
        <v>102</v>
      </c>
      <c r="C30" s="38"/>
      <c r="D30" s="37"/>
      <c r="E30" s="39"/>
    </row>
    <row r="31" spans="1:5" ht="15.75">
      <c r="A31" s="34"/>
      <c r="B31" s="35" t="s">
        <v>103</v>
      </c>
      <c r="C31" s="38"/>
      <c r="D31" s="37"/>
      <c r="E31" s="39"/>
    </row>
    <row r="32" spans="1:5" ht="15.75">
      <c r="A32" s="44" t="s">
        <v>123</v>
      </c>
      <c r="B32" s="45" t="s">
        <v>72</v>
      </c>
      <c r="C32" s="48"/>
      <c r="D32" s="40"/>
      <c r="E32" s="46"/>
    </row>
    <row r="33" spans="1:5" ht="15.75">
      <c r="A33" s="32" t="s">
        <v>124</v>
      </c>
      <c r="B33" s="17" t="s">
        <v>105</v>
      </c>
      <c r="C33" s="17"/>
      <c r="D33" s="43"/>
      <c r="E33" s="33"/>
    </row>
    <row r="34" spans="1:5" ht="15.75">
      <c r="A34" s="28"/>
      <c r="B34" s="41" t="s">
        <v>58</v>
      </c>
      <c r="C34" s="29"/>
      <c r="D34" s="31"/>
      <c r="E34" s="42"/>
    </row>
    <row r="35" spans="1:5" ht="15.75">
      <c r="A35" s="34"/>
      <c r="B35" s="35" t="s">
        <v>59</v>
      </c>
      <c r="C35" s="36"/>
      <c r="D35" s="37"/>
      <c r="E35" s="39"/>
    </row>
    <row r="36" spans="1:5" ht="15.75">
      <c r="A36" s="34"/>
      <c r="B36" s="35" t="s">
        <v>61</v>
      </c>
      <c r="C36" s="36"/>
      <c r="D36" s="37"/>
      <c r="E36" s="39"/>
    </row>
    <row r="37" spans="1:5" ht="15.75">
      <c r="A37" s="44" t="s">
        <v>104</v>
      </c>
      <c r="B37" s="45" t="s">
        <v>73</v>
      </c>
      <c r="C37" s="45"/>
      <c r="D37" s="40"/>
      <c r="E37" s="46"/>
    </row>
    <row r="38" spans="1:5" ht="15.75">
      <c r="A38" s="28"/>
      <c r="B38" s="41" t="s">
        <v>107</v>
      </c>
      <c r="C38" s="29"/>
      <c r="D38" s="31"/>
      <c r="E38" s="42"/>
    </row>
    <row r="39" spans="1:5" ht="15.75">
      <c r="A39" s="34"/>
      <c r="B39" s="35" t="s">
        <v>106</v>
      </c>
      <c r="C39" s="36"/>
      <c r="D39" s="37"/>
      <c r="E39" s="39"/>
    </row>
    <row r="40" spans="1:5" ht="15.75">
      <c r="A40" s="44" t="s">
        <v>125</v>
      </c>
      <c r="B40" s="45" t="s">
        <v>74</v>
      </c>
      <c r="C40" s="45"/>
      <c r="D40" s="46"/>
      <c r="E40" s="46"/>
    </row>
    <row r="41" spans="1:5" ht="15.75">
      <c r="A41" s="28" t="s">
        <v>126</v>
      </c>
      <c r="B41" s="29" t="s">
        <v>76</v>
      </c>
      <c r="C41" s="29"/>
      <c r="D41" s="42"/>
      <c r="E41" s="31"/>
    </row>
    <row r="42" spans="1:5" ht="15.75">
      <c r="A42" s="34" t="s">
        <v>128</v>
      </c>
      <c r="B42" s="36" t="s">
        <v>108</v>
      </c>
      <c r="C42" s="38"/>
      <c r="D42" s="39"/>
      <c r="E42" s="37"/>
    </row>
    <row r="43" spans="1:5" ht="15.75">
      <c r="A43" s="44" t="s">
        <v>129</v>
      </c>
      <c r="B43" s="45" t="s">
        <v>109</v>
      </c>
      <c r="C43" s="48"/>
      <c r="D43" s="40"/>
      <c r="E43" s="46"/>
    </row>
    <row r="44" spans="1:5" ht="15.75">
      <c r="A44" s="32" t="s">
        <v>127</v>
      </c>
      <c r="B44" s="17" t="s">
        <v>111</v>
      </c>
      <c r="C44" s="47"/>
      <c r="D44" s="43"/>
      <c r="E44" s="33"/>
    </row>
    <row r="45" spans="1:5" ht="15.75">
      <c r="A45" s="32" t="s">
        <v>130</v>
      </c>
      <c r="B45" s="17" t="s">
        <v>112</v>
      </c>
      <c r="C45" s="47"/>
      <c r="D45" s="43"/>
      <c r="E45" s="33"/>
    </row>
    <row r="46" spans="1:5" ht="15.75">
      <c r="A46" s="26" t="s">
        <v>131</v>
      </c>
      <c r="B46" s="9" t="s">
        <v>113</v>
      </c>
      <c r="C46" s="27"/>
      <c r="D46" s="49"/>
      <c r="E46" s="21"/>
    </row>
    <row r="47" spans="1:5" ht="15.75">
      <c r="A47" s="26" t="s">
        <v>400</v>
      </c>
      <c r="B47" s="17" t="s">
        <v>402</v>
      </c>
      <c r="C47" s="27"/>
      <c r="D47" s="57"/>
      <c r="E47" s="21"/>
    </row>
    <row r="48" spans="1:5" ht="15.75">
      <c r="A48" s="26" t="s">
        <v>401</v>
      </c>
      <c r="B48" s="17" t="s">
        <v>403</v>
      </c>
      <c r="C48" s="27"/>
      <c r="D48" s="57"/>
      <c r="E48" s="21"/>
    </row>
    <row r="49" spans="1:5" ht="15.75">
      <c r="A49" s="26" t="s">
        <v>132</v>
      </c>
      <c r="B49" s="9" t="s">
        <v>110</v>
      </c>
      <c r="C49" s="27"/>
      <c r="D49" s="49"/>
      <c r="E49" s="21"/>
    </row>
    <row r="50" spans="2:5" ht="15.75">
      <c r="B50" s="5"/>
      <c r="C50" s="5"/>
      <c r="D50" s="20"/>
      <c r="E50" s="20"/>
    </row>
    <row r="51" spans="1:5" ht="15.75">
      <c r="A51" s="25" t="s">
        <v>133</v>
      </c>
      <c r="B51" s="5" t="str">
        <f>+B107</f>
        <v>          COSTI TOTALI</v>
      </c>
      <c r="C51" s="5"/>
      <c r="D51" s="20"/>
      <c r="E51" s="20"/>
    </row>
    <row r="52" spans="1:5" ht="15.75">
      <c r="A52" s="25" t="s">
        <v>135</v>
      </c>
      <c r="B52" s="5"/>
      <c r="C52" s="5" t="s">
        <v>11</v>
      </c>
      <c r="D52" s="20"/>
      <c r="E52" s="20"/>
    </row>
    <row r="53" spans="1:5" ht="15.75">
      <c r="A53" s="25" t="s">
        <v>134</v>
      </c>
      <c r="B53" s="5"/>
      <c r="C53" s="5" t="s">
        <v>12</v>
      </c>
      <c r="D53" s="20"/>
      <c r="E53" s="20"/>
    </row>
    <row r="54" spans="1:5" ht="15.75">
      <c r="A54" s="25" t="s">
        <v>137</v>
      </c>
      <c r="B54" s="5"/>
      <c r="C54" s="5" t="s">
        <v>13</v>
      </c>
      <c r="D54" s="20"/>
      <c r="E54" s="20"/>
    </row>
    <row r="55" spans="1:5" ht="15.75">
      <c r="A55" s="26" t="s">
        <v>136</v>
      </c>
      <c r="B55" s="9"/>
      <c r="C55" s="9" t="s">
        <v>14</v>
      </c>
      <c r="D55" s="21"/>
      <c r="E55" s="21"/>
    </row>
    <row r="56" spans="2:5" ht="15.75">
      <c r="B56" s="13"/>
      <c r="C56" s="14"/>
      <c r="D56" s="14"/>
      <c r="E56" s="15"/>
    </row>
    <row r="57" spans="2:5" ht="15.75">
      <c r="B57" s="13"/>
      <c r="C57" s="14"/>
      <c r="D57" s="14"/>
      <c r="E57" s="14"/>
    </row>
    <row r="58" spans="2:5" ht="15.75">
      <c r="B58" s="13"/>
      <c r="C58" s="14"/>
      <c r="D58" s="14"/>
      <c r="E58" s="14"/>
    </row>
    <row r="59" spans="2:5" ht="22.5" customHeight="1">
      <c r="B59" s="1" t="s">
        <v>67</v>
      </c>
      <c r="C59" s="5"/>
      <c r="D59" s="5"/>
      <c r="E59" s="5"/>
    </row>
    <row r="60" spans="2:5" ht="19.5" customHeight="1">
      <c r="B60" s="17" t="s">
        <v>18</v>
      </c>
      <c r="C60" s="17"/>
      <c r="D60" s="18" t="s">
        <v>9</v>
      </c>
      <c r="E60" s="18"/>
    </row>
    <row r="61" spans="2:5" ht="15.75">
      <c r="B61" s="5" t="s">
        <v>19</v>
      </c>
      <c r="C61" s="5"/>
      <c r="D61" s="20"/>
      <c r="E61" s="20">
        <v>25800</v>
      </c>
    </row>
    <row r="62" spans="2:5" ht="15.75">
      <c r="B62" s="5" t="s">
        <v>20</v>
      </c>
      <c r="C62" s="5"/>
      <c r="D62" s="20"/>
      <c r="E62" s="20">
        <f>6300+3150+9900</f>
        <v>19350</v>
      </c>
    </row>
    <row r="63" spans="2:5" ht="15.75">
      <c r="B63" s="5" t="s">
        <v>21</v>
      </c>
      <c r="C63" s="5"/>
      <c r="D63" s="20"/>
      <c r="E63" s="20">
        <f>+E61+E62</f>
        <v>45150</v>
      </c>
    </row>
    <row r="64" spans="2:5" ht="15.75">
      <c r="B64" s="14" t="s">
        <v>22</v>
      </c>
      <c r="C64" s="14"/>
      <c r="D64" s="15">
        <v>540</v>
      </c>
      <c r="E64" s="15"/>
    </row>
    <row r="65" spans="2:5" ht="15.75">
      <c r="B65" s="14" t="s">
        <v>23</v>
      </c>
      <c r="C65" s="14"/>
      <c r="D65" s="15">
        <f>222+450</f>
        <v>672</v>
      </c>
      <c r="E65" s="15"/>
    </row>
    <row r="66" spans="2:5" ht="15.75">
      <c r="B66" s="14" t="s">
        <v>24</v>
      </c>
      <c r="C66" s="14"/>
      <c r="D66" s="15">
        <v>150</v>
      </c>
      <c r="E66" s="15"/>
    </row>
    <row r="67" spans="2:5" ht="15.75">
      <c r="B67" s="14" t="s">
        <v>25</v>
      </c>
      <c r="C67" s="14"/>
      <c r="D67" s="15">
        <f>210+600+250</f>
        <v>1060</v>
      </c>
      <c r="E67" s="15"/>
    </row>
    <row r="68" spans="2:5" ht="15.75">
      <c r="B68" s="14" t="s">
        <v>26</v>
      </c>
      <c r="C68" s="14"/>
      <c r="D68" s="15">
        <v>0</v>
      </c>
      <c r="E68" s="15"/>
    </row>
    <row r="69" spans="2:5" ht="15.75">
      <c r="B69" s="5" t="s">
        <v>27</v>
      </c>
      <c r="C69" s="5"/>
      <c r="D69" s="20"/>
      <c r="E69" s="20">
        <f>SUM(D64:D68)</f>
        <v>2422</v>
      </c>
    </row>
    <row r="70" spans="2:5" ht="15.75">
      <c r="B70" s="14" t="s">
        <v>28</v>
      </c>
      <c r="C70" s="14"/>
      <c r="D70" s="15">
        <v>2000</v>
      </c>
      <c r="E70" s="15"/>
    </row>
    <row r="71" spans="2:5" ht="15.75">
      <c r="B71" s="14" t="s">
        <v>29</v>
      </c>
      <c r="C71" s="14"/>
      <c r="D71" s="15">
        <v>200</v>
      </c>
      <c r="E71" s="15"/>
    </row>
    <row r="72" spans="2:5" ht="15.75">
      <c r="B72" s="14" t="s">
        <v>30</v>
      </c>
      <c r="C72" s="14"/>
      <c r="D72" s="15">
        <v>3150</v>
      </c>
      <c r="E72" s="15"/>
    </row>
    <row r="73" spans="2:5" ht="15.75">
      <c r="B73" s="14" t="s">
        <v>31</v>
      </c>
      <c r="C73" s="14"/>
      <c r="D73" s="15">
        <v>0</v>
      </c>
      <c r="E73" s="15"/>
    </row>
    <row r="74" spans="2:5" ht="15.75">
      <c r="B74" s="14" t="s">
        <v>26</v>
      </c>
      <c r="C74" s="14"/>
      <c r="D74" s="15">
        <v>0</v>
      </c>
      <c r="E74" s="15"/>
    </row>
    <row r="75" spans="2:5" ht="15.75">
      <c r="B75" s="5" t="s">
        <v>32</v>
      </c>
      <c r="C75" s="5"/>
      <c r="D75" s="20"/>
      <c r="E75" s="20">
        <f>SUM(D70:D74)</f>
        <v>5350</v>
      </c>
    </row>
    <row r="76" spans="2:5" ht="15.75">
      <c r="B76" s="5" t="s">
        <v>33</v>
      </c>
      <c r="C76" s="5"/>
      <c r="D76" s="20"/>
      <c r="E76" s="20">
        <v>0</v>
      </c>
    </row>
    <row r="77" spans="2:5" ht="15.75">
      <c r="B77" s="5" t="s">
        <v>34</v>
      </c>
      <c r="C77" s="5"/>
      <c r="D77" s="20"/>
      <c r="E77" s="20">
        <f>+E75+E69+E76</f>
        <v>7772</v>
      </c>
    </row>
    <row r="78" spans="2:5" ht="15.75">
      <c r="B78" s="5" t="s">
        <v>35</v>
      </c>
      <c r="C78" s="5"/>
      <c r="D78" s="20"/>
      <c r="E78" s="20">
        <f>100+450+650+300+3720</f>
        <v>5220</v>
      </c>
    </row>
    <row r="79" spans="2:5" ht="15.75">
      <c r="B79" s="14" t="s">
        <v>36</v>
      </c>
      <c r="C79" s="14"/>
      <c r="D79" s="15">
        <v>1140</v>
      </c>
      <c r="E79" s="15"/>
    </row>
    <row r="80" spans="2:5" ht="15.75">
      <c r="B80" s="14" t="s">
        <v>37</v>
      </c>
      <c r="C80" s="14"/>
      <c r="D80" s="15">
        <v>0</v>
      </c>
      <c r="E80" s="15"/>
    </row>
    <row r="81" spans="2:5" ht="15.75">
      <c r="B81" s="14" t="s">
        <v>38</v>
      </c>
      <c r="C81" s="14"/>
      <c r="D81" s="15">
        <v>0</v>
      </c>
      <c r="E81" s="15"/>
    </row>
    <row r="82" spans="2:5" ht="15.75">
      <c r="B82" s="14" t="s">
        <v>39</v>
      </c>
      <c r="C82" s="14"/>
      <c r="D82" s="15">
        <v>800</v>
      </c>
      <c r="E82" s="15"/>
    </row>
    <row r="83" spans="2:5" ht="15.75">
      <c r="B83" s="14" t="s">
        <v>40</v>
      </c>
      <c r="C83" s="14"/>
      <c r="D83" s="15">
        <v>0</v>
      </c>
      <c r="E83" s="15"/>
    </row>
    <row r="84" spans="2:5" ht="15.75">
      <c r="B84" s="14" t="s">
        <v>41</v>
      </c>
      <c r="C84" s="14"/>
      <c r="D84" s="15">
        <v>400</v>
      </c>
      <c r="E84" s="15"/>
    </row>
    <row r="85" spans="2:5" ht="15.75">
      <c r="B85" s="14" t="s">
        <v>42</v>
      </c>
      <c r="C85" s="14"/>
      <c r="D85" s="15">
        <v>0</v>
      </c>
      <c r="E85" s="15"/>
    </row>
    <row r="86" spans="2:5" ht="15.75">
      <c r="B86" s="14" t="s">
        <v>43</v>
      </c>
      <c r="C86" s="14"/>
      <c r="D86" s="15">
        <v>400</v>
      </c>
      <c r="E86" s="15"/>
    </row>
    <row r="87" spans="2:5" ht="15.75">
      <c r="B87" s="5" t="s">
        <v>44</v>
      </c>
      <c r="C87" s="5"/>
      <c r="D87" s="20"/>
      <c r="E87" s="20">
        <f>SUM(D79:D86)</f>
        <v>2740</v>
      </c>
    </row>
    <row r="88" spans="2:5" ht="15.75">
      <c r="B88" s="5" t="s">
        <v>45</v>
      </c>
      <c r="C88" s="5"/>
      <c r="D88" s="20"/>
      <c r="E88" s="20">
        <v>2600</v>
      </c>
    </row>
    <row r="89" spans="2:5" ht="15.75">
      <c r="B89" s="5" t="s">
        <v>46</v>
      </c>
      <c r="C89" s="5"/>
      <c r="D89" s="20"/>
      <c r="E89" s="20">
        <f>+E88+E87</f>
        <v>5340</v>
      </c>
    </row>
    <row r="90" spans="2:5" ht="15.75">
      <c r="B90" s="5" t="s">
        <v>47</v>
      </c>
      <c r="C90" s="5"/>
      <c r="D90" s="20"/>
      <c r="E90" s="20">
        <v>1600</v>
      </c>
    </row>
    <row r="91" spans="2:5" ht="15.75">
      <c r="B91" s="5" t="s">
        <v>48</v>
      </c>
      <c r="C91" s="5"/>
      <c r="D91" s="20"/>
      <c r="E91" s="20">
        <v>6300</v>
      </c>
    </row>
    <row r="92" spans="2:5" ht="15.75">
      <c r="B92" s="5" t="s">
        <v>49</v>
      </c>
      <c r="C92" s="5"/>
      <c r="D92" s="20"/>
      <c r="E92" s="20">
        <f>+E91+E90</f>
        <v>7900</v>
      </c>
    </row>
    <row r="93" spans="2:5" ht="15.75">
      <c r="B93" s="14" t="s">
        <v>50</v>
      </c>
      <c r="C93" s="14"/>
      <c r="D93" s="15"/>
      <c r="E93" s="15"/>
    </row>
    <row r="94" spans="2:5" ht="15.75">
      <c r="B94" s="14" t="s">
        <v>51</v>
      </c>
      <c r="C94" s="14"/>
      <c r="D94" s="15">
        <f>2480*11.5</f>
        <v>28520</v>
      </c>
      <c r="E94" s="15"/>
    </row>
    <row r="95" spans="2:5" ht="15.75">
      <c r="B95" s="14" t="s">
        <v>52</v>
      </c>
      <c r="C95" s="14"/>
      <c r="D95" s="15"/>
      <c r="E95" s="15"/>
    </row>
    <row r="96" spans="2:5" ht="15.75">
      <c r="B96" s="14" t="s">
        <v>66</v>
      </c>
      <c r="C96" s="14"/>
      <c r="D96" s="15">
        <f>1200*9.65</f>
        <v>11580</v>
      </c>
      <c r="E96" s="15"/>
    </row>
    <row r="97" spans="2:5" ht="15.75">
      <c r="B97" s="5" t="s">
        <v>53</v>
      </c>
      <c r="C97" s="5"/>
      <c r="D97" s="20"/>
      <c r="E97" s="20">
        <f>+D94+D96</f>
        <v>40100</v>
      </c>
    </row>
    <row r="98" spans="2:5" ht="15.75">
      <c r="B98" s="5" t="s">
        <v>54</v>
      </c>
      <c r="C98" s="5"/>
      <c r="D98" s="20"/>
      <c r="E98" s="20">
        <v>4500</v>
      </c>
    </row>
    <row r="99" spans="2:5" ht="15.75">
      <c r="B99" s="5" t="s">
        <v>55</v>
      </c>
      <c r="C99" s="5"/>
      <c r="D99" s="20"/>
      <c r="E99" s="20">
        <v>0</v>
      </c>
    </row>
    <row r="100" spans="2:5" ht="15.75">
      <c r="B100" s="5" t="s">
        <v>56</v>
      </c>
      <c r="C100" s="5"/>
      <c r="D100" s="20"/>
      <c r="E100" s="20">
        <v>0</v>
      </c>
    </row>
    <row r="101" spans="2:8" ht="15.75">
      <c r="B101" s="5" t="s">
        <v>57</v>
      </c>
      <c r="C101" s="5"/>
      <c r="D101" s="20"/>
      <c r="E101" s="20">
        <f>SUM(E97:E100)</f>
        <v>44600</v>
      </c>
      <c r="H101" s="22"/>
    </row>
    <row r="102" spans="2:5" ht="15.75">
      <c r="B102" s="5" t="s">
        <v>58</v>
      </c>
      <c r="C102" s="5"/>
      <c r="D102" s="20"/>
      <c r="E102" s="20">
        <v>0</v>
      </c>
    </row>
    <row r="103" spans="2:5" ht="15.75">
      <c r="B103" s="5" t="s">
        <v>59</v>
      </c>
      <c r="C103" s="5"/>
      <c r="D103" s="20"/>
      <c r="E103" s="20">
        <v>350</v>
      </c>
    </row>
    <row r="104" spans="2:5" ht="15.75">
      <c r="B104" s="5" t="s">
        <v>60</v>
      </c>
      <c r="C104" s="5"/>
      <c r="D104" s="20"/>
      <c r="E104" s="20">
        <v>3900</v>
      </c>
    </row>
    <row r="105" spans="2:5" ht="15.75">
      <c r="B105" s="5" t="s">
        <v>61</v>
      </c>
      <c r="C105" s="5"/>
      <c r="D105" s="20"/>
      <c r="E105" s="20">
        <f>+E54*0.03</f>
        <v>0</v>
      </c>
    </row>
    <row r="106" spans="2:5" ht="15.75">
      <c r="B106" s="5" t="s">
        <v>62</v>
      </c>
      <c r="C106" s="5"/>
      <c r="D106" s="20"/>
      <c r="E106" s="20">
        <f>SUM(E102:E105)</f>
        <v>4250</v>
      </c>
    </row>
    <row r="107" spans="2:5" ht="15.75">
      <c r="B107" s="9" t="s">
        <v>63</v>
      </c>
      <c r="C107" s="9"/>
      <c r="D107" s="9"/>
      <c r="E107" s="10">
        <f>+E106+E101+E92+E89+E78+E77+E63</f>
        <v>120232</v>
      </c>
    </row>
    <row r="108" spans="2:6" ht="15.75">
      <c r="B108" s="13" t="s">
        <v>8</v>
      </c>
      <c r="C108"/>
      <c r="D108"/>
      <c r="E108" s="23"/>
      <c r="F108" s="24"/>
    </row>
    <row r="109" spans="2:6" ht="15.75">
      <c r="B109"/>
      <c r="C109"/>
      <c r="D109"/>
      <c r="E109" s="23"/>
      <c r="F109" s="24"/>
    </row>
    <row r="110" spans="2:6" ht="15.75">
      <c r="B110"/>
      <c r="C110"/>
      <c r="D110"/>
      <c r="E110"/>
      <c r="F110" s="24"/>
    </row>
    <row r="111" spans="2:5" ht="15.75">
      <c r="B111"/>
      <c r="C111"/>
      <c r="D111"/>
      <c r="E111"/>
    </row>
    <row r="112" spans="2:7" ht="15.75">
      <c r="B112"/>
      <c r="C112"/>
      <c r="D112"/>
      <c r="E112"/>
      <c r="G112" s="24"/>
    </row>
    <row r="113" spans="2:5" ht="15.75">
      <c r="B113"/>
      <c r="C113"/>
      <c r="D113"/>
      <c r="E113"/>
    </row>
    <row r="114" spans="2:5" ht="15.75">
      <c r="B114"/>
      <c r="C114"/>
      <c r="D114"/>
      <c r="E114"/>
    </row>
    <row r="115" spans="2:5" ht="15.75">
      <c r="B115"/>
      <c r="C115"/>
      <c r="D115"/>
      <c r="E115"/>
    </row>
    <row r="116" spans="2:5" ht="15.75">
      <c r="B116"/>
      <c r="C116"/>
      <c r="D116"/>
      <c r="E116"/>
    </row>
    <row r="117" spans="2:5" ht="15.75">
      <c r="B117"/>
      <c r="C117"/>
      <c r="D117"/>
      <c r="E117"/>
    </row>
    <row r="118" spans="2:5" ht="15.75">
      <c r="B118"/>
      <c r="C118"/>
      <c r="D118"/>
      <c r="E118"/>
    </row>
    <row r="119" spans="2:5" ht="15.75">
      <c r="B119"/>
      <c r="C119"/>
      <c r="D119"/>
      <c r="E119"/>
    </row>
    <row r="120" spans="2:5" ht="15.75">
      <c r="B120"/>
      <c r="C120"/>
      <c r="D120"/>
      <c r="E120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76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19.421875" style="4" customWidth="1"/>
    <col min="2" max="5" width="13.8515625" style="4" customWidth="1"/>
    <col min="6" max="6" width="12.28125" style="4" customWidth="1"/>
    <col min="7" max="18" width="9.140625" style="4" customWidth="1"/>
    <col min="19" max="19" width="13.421875" style="4" customWidth="1"/>
    <col min="20" max="20" width="11.57421875" style="4" customWidth="1"/>
    <col min="21" max="21" width="10.421875" style="4" customWidth="1"/>
    <col min="22" max="16384" width="9.140625" style="4" customWidth="1"/>
  </cols>
  <sheetData>
    <row r="1" spans="1:21" s="1" customFormat="1" ht="20.25" customHeight="1">
      <c r="A1" s="1" t="s">
        <v>79</v>
      </c>
      <c r="E1" s="1" t="s">
        <v>411</v>
      </c>
      <c r="F1" s="1" t="s">
        <v>410</v>
      </c>
      <c r="G1" s="152" t="s">
        <v>412</v>
      </c>
      <c r="H1" s="152" t="s">
        <v>413</v>
      </c>
      <c r="I1" s="152" t="s">
        <v>414</v>
      </c>
      <c r="J1" s="152" t="s">
        <v>415</v>
      </c>
      <c r="K1" s="152" t="s">
        <v>416</v>
      </c>
      <c r="L1" s="152" t="s">
        <v>417</v>
      </c>
      <c r="M1" s="152" t="s">
        <v>418</v>
      </c>
      <c r="N1" s="152" t="s">
        <v>419</v>
      </c>
      <c r="O1" s="152" t="s">
        <v>420</v>
      </c>
      <c r="P1" s="152" t="s">
        <v>421</v>
      </c>
      <c r="Q1" s="152" t="s">
        <v>422</v>
      </c>
      <c r="R1" s="152" t="s">
        <v>423</v>
      </c>
      <c r="S1" s="152" t="s">
        <v>424</v>
      </c>
      <c r="T1" s="1" t="s">
        <v>425</v>
      </c>
      <c r="U1" s="1" t="s">
        <v>426</v>
      </c>
    </row>
    <row r="2" spans="1:5" ht="34.5" customHeight="1">
      <c r="A2" s="2" t="s">
        <v>0</v>
      </c>
      <c r="B2" s="3" t="s">
        <v>1</v>
      </c>
      <c r="C2" s="3" t="s">
        <v>340</v>
      </c>
      <c r="D2" s="3" t="s">
        <v>341</v>
      </c>
      <c r="E2" s="147"/>
    </row>
    <row r="3" spans="1:21" ht="15.75">
      <c r="A3" s="5" t="s">
        <v>4</v>
      </c>
      <c r="B3" s="6">
        <v>136.5</v>
      </c>
      <c r="C3" s="66">
        <v>335.6969844081662</v>
      </c>
      <c r="D3" s="7">
        <f>+C3*B3</f>
        <v>45822.63837171469</v>
      </c>
      <c r="E3" s="8">
        <v>0.05</v>
      </c>
      <c r="F3" s="7">
        <f>+D3*(1+E3)</f>
        <v>48113.770290300425</v>
      </c>
      <c r="G3" s="153">
        <f>+$F3/11.5</f>
        <v>4183.806112200037</v>
      </c>
      <c r="H3" s="153">
        <f aca="true" t="shared" si="0" ref="H3:R3">+$F3/11.5</f>
        <v>4183.806112200037</v>
      </c>
      <c r="I3" s="153">
        <f t="shared" si="0"/>
        <v>4183.806112200037</v>
      </c>
      <c r="J3" s="153">
        <f t="shared" si="0"/>
        <v>4183.806112200037</v>
      </c>
      <c r="K3" s="153">
        <f t="shared" si="0"/>
        <v>4183.806112200037</v>
      </c>
      <c r="L3" s="153">
        <v>3486.5050935000304</v>
      </c>
      <c r="M3" s="153">
        <v>3486.5050935000304</v>
      </c>
      <c r="N3" s="153">
        <v>3486.5050935000304</v>
      </c>
      <c r="O3" s="153">
        <f t="shared" si="0"/>
        <v>4183.806112200037</v>
      </c>
      <c r="P3" s="153">
        <f t="shared" si="0"/>
        <v>4183.806112200037</v>
      </c>
      <c r="Q3" s="153">
        <f t="shared" si="0"/>
        <v>4183.806112200037</v>
      </c>
      <c r="R3" s="153">
        <f t="shared" si="0"/>
        <v>4183.806112200037</v>
      </c>
      <c r="S3" s="153">
        <f>SUM(G3:I3)</f>
        <v>12551.418336600113</v>
      </c>
      <c r="T3" s="4">
        <v>12925</v>
      </c>
      <c r="U3" s="111">
        <f>+(T3/S3)-1</f>
        <v>0.029764099433329916</v>
      </c>
    </row>
    <row r="4" spans="1:20" ht="15.75">
      <c r="A4" s="5" t="s">
        <v>64</v>
      </c>
      <c r="B4" s="6">
        <v>9.5</v>
      </c>
      <c r="C4" s="66">
        <v>619.7482789073838</v>
      </c>
      <c r="D4" s="7">
        <f>+C4*B4</f>
        <v>5887.608649620146</v>
      </c>
      <c r="E4" s="8">
        <v>0</v>
      </c>
      <c r="F4" s="7">
        <f>+D4*(1+E4)</f>
        <v>5887.608649620146</v>
      </c>
      <c r="G4" s="153"/>
      <c r="H4" s="153"/>
      <c r="I4" s="153"/>
      <c r="J4" s="153"/>
      <c r="K4" s="153"/>
      <c r="L4" s="153">
        <f>+$F4/3</f>
        <v>1962.5362165400486</v>
      </c>
      <c r="M4" s="153">
        <f>+$F4/3</f>
        <v>1962.5362165400486</v>
      </c>
      <c r="N4" s="153">
        <f>+$F4/3</f>
        <v>1962.5362165400486</v>
      </c>
      <c r="O4" s="153"/>
      <c r="P4" s="153"/>
      <c r="Q4" s="153"/>
      <c r="R4" s="153"/>
      <c r="S4" s="154">
        <f>SUM(G4:I4)</f>
        <v>0</v>
      </c>
      <c r="T4" s="4">
        <v>0</v>
      </c>
    </row>
    <row r="5" spans="1:21" ht="15.75">
      <c r="A5" s="5" t="s">
        <v>5</v>
      </c>
      <c r="B5" s="5">
        <v>7.2</v>
      </c>
      <c r="C5" s="5"/>
      <c r="D5" s="7">
        <v>10303.315136835256</v>
      </c>
      <c r="E5" s="8">
        <v>0.02</v>
      </c>
      <c r="F5" s="7">
        <f>+D5*(1+E5)</f>
        <v>10509.38143957196</v>
      </c>
      <c r="G5" s="153">
        <f>+$F5/12</f>
        <v>875.7817866309966</v>
      </c>
      <c r="H5" s="153">
        <f aca="true" t="shared" si="1" ref="H5:R5">+$F5/12</f>
        <v>875.7817866309966</v>
      </c>
      <c r="I5" s="153">
        <f t="shared" si="1"/>
        <v>875.7817866309966</v>
      </c>
      <c r="J5" s="153">
        <f t="shared" si="1"/>
        <v>875.7817866309966</v>
      </c>
      <c r="K5" s="153">
        <f t="shared" si="1"/>
        <v>875.7817866309966</v>
      </c>
      <c r="L5" s="153">
        <f t="shared" si="1"/>
        <v>875.7817866309966</v>
      </c>
      <c r="M5" s="153">
        <f t="shared" si="1"/>
        <v>875.7817866309966</v>
      </c>
      <c r="N5" s="153">
        <f t="shared" si="1"/>
        <v>875.7817866309966</v>
      </c>
      <c r="O5" s="153">
        <f t="shared" si="1"/>
        <v>875.7817866309966</v>
      </c>
      <c r="P5" s="153">
        <f t="shared" si="1"/>
        <v>875.7817866309966</v>
      </c>
      <c r="Q5" s="153">
        <f t="shared" si="1"/>
        <v>875.7817866309966</v>
      </c>
      <c r="R5" s="153">
        <f t="shared" si="1"/>
        <v>875.7817866309966</v>
      </c>
      <c r="S5" s="153">
        <f>SUM(G5:I5)</f>
        <v>2627.34535989299</v>
      </c>
      <c r="T5" s="4">
        <v>2285</v>
      </c>
      <c r="U5" s="111">
        <f>+(T5/S5)-1</f>
        <v>-0.13030085999312002</v>
      </c>
    </row>
    <row r="6" spans="1:20" ht="15.75">
      <c r="A6" s="5" t="s">
        <v>65</v>
      </c>
      <c r="B6" s="6">
        <v>14</v>
      </c>
      <c r="C6" s="66">
        <v>154.93706972684595</v>
      </c>
      <c r="D6" s="7">
        <f>+C6*B6</f>
        <v>2169.1189761758433</v>
      </c>
      <c r="E6" s="8">
        <v>0.02</v>
      </c>
      <c r="F6" s="7">
        <f>+D6*(1+E6)</f>
        <v>2212.5013556993604</v>
      </c>
      <c r="P6" s="59">
        <f>+F6</f>
        <v>2212.5013556993604</v>
      </c>
      <c r="S6" s="154">
        <f>SUM(G6:I6)</f>
        <v>0</v>
      </c>
      <c r="T6" s="4">
        <v>0</v>
      </c>
    </row>
    <row r="7" spans="1:21" ht="15.75">
      <c r="A7" s="9" t="s">
        <v>7</v>
      </c>
      <c r="B7" s="9"/>
      <c r="C7" s="9"/>
      <c r="D7" s="10">
        <f>SUM(D3:D6)</f>
        <v>64182.681134345934</v>
      </c>
      <c r="E7" s="148"/>
      <c r="F7" s="10">
        <f>SUM(F3:F6)</f>
        <v>66723.26173519189</v>
      </c>
      <c r="G7" s="10">
        <f aca="true" t="shared" si="2" ref="G7:T7">SUM(G3:G6)</f>
        <v>5059.587898831034</v>
      </c>
      <c r="H7" s="10">
        <f t="shared" si="2"/>
        <v>5059.587898831034</v>
      </c>
      <c r="I7" s="10">
        <f t="shared" si="2"/>
        <v>5059.587898831034</v>
      </c>
      <c r="J7" s="10">
        <f t="shared" si="2"/>
        <v>5059.587898831034</v>
      </c>
      <c r="K7" s="10">
        <f t="shared" si="2"/>
        <v>5059.587898831034</v>
      </c>
      <c r="L7" s="10">
        <f t="shared" si="2"/>
        <v>6324.823096671076</v>
      </c>
      <c r="M7" s="10">
        <f t="shared" si="2"/>
        <v>6324.823096671076</v>
      </c>
      <c r="N7" s="10">
        <f t="shared" si="2"/>
        <v>6324.823096671076</v>
      </c>
      <c r="O7" s="10">
        <f t="shared" si="2"/>
        <v>5059.587898831034</v>
      </c>
      <c r="P7" s="10">
        <f t="shared" si="2"/>
        <v>7272.089254530394</v>
      </c>
      <c r="Q7" s="10">
        <f t="shared" si="2"/>
        <v>5059.587898831034</v>
      </c>
      <c r="R7" s="10">
        <f t="shared" si="2"/>
        <v>5059.587898831034</v>
      </c>
      <c r="S7" s="10">
        <f>SUM(G7:I7)</f>
        <v>15178.763696493103</v>
      </c>
      <c r="T7" s="10">
        <f t="shared" si="2"/>
        <v>15210</v>
      </c>
      <c r="U7" s="157">
        <f>+(T7/S7)-1</f>
        <v>0.002057895104732088</v>
      </c>
    </row>
    <row r="8" spans="1:5" ht="19.5" customHeight="1">
      <c r="A8" s="17" t="s">
        <v>18</v>
      </c>
      <c r="B8" s="17"/>
      <c r="C8" s="158" t="s">
        <v>343</v>
      </c>
      <c r="D8" s="158"/>
      <c r="E8" s="149"/>
    </row>
    <row r="9" spans="1:21" ht="15.75">
      <c r="A9" s="5" t="s">
        <v>19</v>
      </c>
      <c r="B9" s="5"/>
      <c r="C9" s="20"/>
      <c r="D9" s="20">
        <v>13324.587996508752</v>
      </c>
      <c r="E9" s="150">
        <v>0.03</v>
      </c>
      <c r="F9" s="151">
        <f>+D9*(1+E9)</f>
        <v>13724.325636404015</v>
      </c>
      <c r="G9" s="153">
        <f aca="true" t="shared" si="3" ref="G9:R9">+$F9/12</f>
        <v>1143.693803033668</v>
      </c>
      <c r="H9" s="153">
        <f t="shared" si="3"/>
        <v>1143.693803033668</v>
      </c>
      <c r="I9" s="153">
        <f t="shared" si="3"/>
        <v>1143.693803033668</v>
      </c>
      <c r="J9" s="153">
        <f t="shared" si="3"/>
        <v>1143.693803033668</v>
      </c>
      <c r="K9" s="153">
        <f t="shared" si="3"/>
        <v>1143.693803033668</v>
      </c>
      <c r="L9" s="153">
        <f t="shared" si="3"/>
        <v>1143.693803033668</v>
      </c>
      <c r="M9" s="153">
        <f t="shared" si="3"/>
        <v>1143.693803033668</v>
      </c>
      <c r="N9" s="153">
        <f t="shared" si="3"/>
        <v>1143.693803033668</v>
      </c>
      <c r="O9" s="153">
        <f t="shared" si="3"/>
        <v>1143.693803033668</v>
      </c>
      <c r="P9" s="153">
        <f t="shared" si="3"/>
        <v>1143.693803033668</v>
      </c>
      <c r="Q9" s="153">
        <f t="shared" si="3"/>
        <v>1143.693803033668</v>
      </c>
      <c r="R9" s="153">
        <f t="shared" si="3"/>
        <v>1143.693803033668</v>
      </c>
      <c r="S9" s="153">
        <f aca="true" t="shared" si="4" ref="S9:S46">SUM(G9:I9)</f>
        <v>3431.0814091010043</v>
      </c>
      <c r="T9" s="4">
        <v>3712</v>
      </c>
      <c r="U9" s="111">
        <f aca="true" t="shared" si="5" ref="U9:U46">+(T9/S9)-1</f>
        <v>0.08187465041017505</v>
      </c>
    </row>
    <row r="10" spans="1:21" ht="15.75">
      <c r="A10" s="5" t="s">
        <v>20</v>
      </c>
      <c r="B10" s="5"/>
      <c r="C10" s="20"/>
      <c r="D10" s="20">
        <v>9993.440997381564</v>
      </c>
      <c r="E10" s="150">
        <v>0.05</v>
      </c>
      <c r="F10" s="151">
        <f>+D10*(1+E10)</f>
        <v>10493.113047250643</v>
      </c>
      <c r="G10" s="153">
        <f>+$F10/6</f>
        <v>1748.8521745417738</v>
      </c>
      <c r="H10" s="153">
        <f>+$F10/6</f>
        <v>1748.8521745417738</v>
      </c>
      <c r="I10" s="153">
        <f>+$F10/6</f>
        <v>1748.8521745417738</v>
      </c>
      <c r="J10" s="153">
        <f>+$F10/6</f>
        <v>1748.8521745417738</v>
      </c>
      <c r="Q10" s="153">
        <f>+$F10/6</f>
        <v>1748.8521745417738</v>
      </c>
      <c r="R10" s="153">
        <f>+$F10/6</f>
        <v>1748.8521745417738</v>
      </c>
      <c r="S10" s="153">
        <f t="shared" si="4"/>
        <v>5246.5565236253215</v>
      </c>
      <c r="T10" s="4">
        <v>5060</v>
      </c>
      <c r="U10" s="111">
        <f t="shared" si="5"/>
        <v>-0.03555789836347989</v>
      </c>
    </row>
    <row r="11" spans="1:21" ht="15.75">
      <c r="A11" s="5" t="s">
        <v>21</v>
      </c>
      <c r="B11" s="5"/>
      <c r="C11" s="20"/>
      <c r="D11" s="20">
        <f>+D9+D10</f>
        <v>23318.028993890315</v>
      </c>
      <c r="E11" s="150"/>
      <c r="F11" s="98">
        <f>+F10+F9</f>
        <v>24217.43868365466</v>
      </c>
      <c r="G11" s="98">
        <f aca="true" t="shared" si="6" ref="G11:T11">+G10+G9</f>
        <v>2892.5459775754416</v>
      </c>
      <c r="H11" s="98">
        <f t="shared" si="6"/>
        <v>2892.5459775754416</v>
      </c>
      <c r="I11" s="98">
        <f t="shared" si="6"/>
        <v>2892.5459775754416</v>
      </c>
      <c r="J11" s="98">
        <f t="shared" si="6"/>
        <v>2892.5459775754416</v>
      </c>
      <c r="K11" s="98">
        <f t="shared" si="6"/>
        <v>1143.693803033668</v>
      </c>
      <c r="L11" s="98">
        <f t="shared" si="6"/>
        <v>1143.693803033668</v>
      </c>
      <c r="M11" s="98">
        <f t="shared" si="6"/>
        <v>1143.693803033668</v>
      </c>
      <c r="N11" s="98">
        <f t="shared" si="6"/>
        <v>1143.693803033668</v>
      </c>
      <c r="O11" s="98">
        <f t="shared" si="6"/>
        <v>1143.693803033668</v>
      </c>
      <c r="P11" s="98">
        <f t="shared" si="6"/>
        <v>1143.693803033668</v>
      </c>
      <c r="Q11" s="98">
        <f t="shared" si="6"/>
        <v>2892.5459775754416</v>
      </c>
      <c r="R11" s="98">
        <f t="shared" si="6"/>
        <v>2892.5459775754416</v>
      </c>
      <c r="S11" s="155">
        <f t="shared" si="4"/>
        <v>8677.637932726324</v>
      </c>
      <c r="T11" s="155">
        <f t="shared" si="6"/>
        <v>8772</v>
      </c>
      <c r="U11" s="156">
        <f t="shared" si="5"/>
        <v>0.010874165067178643</v>
      </c>
    </row>
    <row r="12" spans="1:21" ht="15">
      <c r="A12" s="14" t="s">
        <v>22</v>
      </c>
      <c r="B12" s="14"/>
      <c r="C12" s="15">
        <v>278.88672550832274</v>
      </c>
      <c r="D12" s="15"/>
      <c r="E12" s="150">
        <v>0.02</v>
      </c>
      <c r="F12" s="151">
        <f>+C12*(1+E12)</f>
        <v>284.4644600184892</v>
      </c>
      <c r="I12" s="59">
        <f>+F12</f>
        <v>284.4644600184892</v>
      </c>
      <c r="S12" s="153">
        <f t="shared" si="4"/>
        <v>284.4644600184892</v>
      </c>
      <c r="T12" s="4">
        <v>312</v>
      </c>
      <c r="U12" s="111">
        <f t="shared" si="5"/>
        <v>0.09679782135076231</v>
      </c>
    </row>
    <row r="13" spans="1:21" ht="15">
      <c r="A13" s="14" t="s">
        <v>23</v>
      </c>
      <c r="B13" s="14"/>
      <c r="C13" s="15">
        <v>347.05903618813494</v>
      </c>
      <c r="D13" s="15"/>
      <c r="E13" s="150">
        <v>0.05</v>
      </c>
      <c r="F13" s="151">
        <f>+C13*(1+E13)</f>
        <v>364.4119879975417</v>
      </c>
      <c r="I13" s="59">
        <f>+F13</f>
        <v>364.4119879975417</v>
      </c>
      <c r="S13" s="153">
        <f t="shared" si="4"/>
        <v>364.4119879975417</v>
      </c>
      <c r="T13" s="4">
        <v>305</v>
      </c>
      <c r="U13" s="111">
        <f t="shared" si="5"/>
        <v>-0.16303521825396838</v>
      </c>
    </row>
    <row r="14" spans="1:21" ht="15">
      <c r="A14" s="14" t="s">
        <v>82</v>
      </c>
      <c r="B14" s="14"/>
      <c r="C14" s="15">
        <v>77.46853486342297</v>
      </c>
      <c r="D14" s="15"/>
      <c r="E14" s="150">
        <v>0.03</v>
      </c>
      <c r="F14" s="151">
        <f>+C14*(1+E14)</f>
        <v>79.79259090932567</v>
      </c>
      <c r="I14" s="59">
        <f>+F14</f>
        <v>79.79259090932567</v>
      </c>
      <c r="S14" s="153">
        <f t="shared" si="4"/>
        <v>79.79259090932567</v>
      </c>
      <c r="T14" s="4">
        <v>82</v>
      </c>
      <c r="U14" s="111">
        <f t="shared" si="5"/>
        <v>0.02766433656957923</v>
      </c>
    </row>
    <row r="15" spans="1:21" ht="15">
      <c r="A15" s="14" t="s">
        <v>25</v>
      </c>
      <c r="B15" s="14"/>
      <c r="C15" s="15">
        <v>547.4443130348557</v>
      </c>
      <c r="D15" s="15"/>
      <c r="E15" s="150">
        <v>0.02</v>
      </c>
      <c r="F15" s="151">
        <f>+C15*(1+E15)</f>
        <v>558.3931992955528</v>
      </c>
      <c r="O15" s="59">
        <f>+F15</f>
        <v>558.3931992955528</v>
      </c>
      <c r="S15" s="153">
        <f t="shared" si="4"/>
        <v>0</v>
      </c>
      <c r="T15" s="4">
        <v>0</v>
      </c>
      <c r="U15" s="111"/>
    </row>
    <row r="16" spans="1:21" ht="15.75">
      <c r="A16" s="5" t="s">
        <v>27</v>
      </c>
      <c r="B16" s="5"/>
      <c r="C16" s="20"/>
      <c r="D16" s="20">
        <f>SUM(C12:C15)</f>
        <v>1250.8586095947362</v>
      </c>
      <c r="E16" s="8"/>
      <c r="F16" s="98">
        <f>SUM(F12:F15)</f>
        <v>1287.0622382209094</v>
      </c>
      <c r="I16" s="59">
        <f>SUM(I12:I15)</f>
        <v>728.6690389253566</v>
      </c>
      <c r="O16" s="59">
        <f>SUM(O12:O15)</f>
        <v>558.3931992955528</v>
      </c>
      <c r="S16" s="153">
        <f t="shared" si="4"/>
        <v>728.6690389253566</v>
      </c>
      <c r="T16" s="59">
        <f>SUM(T12:T15)</f>
        <v>699</v>
      </c>
      <c r="U16" s="111">
        <f t="shared" si="5"/>
        <v>-0.04071675526259855</v>
      </c>
    </row>
    <row r="17" spans="1:21" ht="15">
      <c r="A17" s="14" t="s">
        <v>28</v>
      </c>
      <c r="B17" s="14"/>
      <c r="C17" s="15">
        <v>1032.913798178973</v>
      </c>
      <c r="D17" s="15"/>
      <c r="E17" s="150">
        <v>0.07</v>
      </c>
      <c r="F17" s="151">
        <f>+C17*(1+E17)</f>
        <v>1105.217764051501</v>
      </c>
      <c r="G17" s="153">
        <f aca="true" t="shared" si="7" ref="G17:R17">+$F17/12</f>
        <v>92.10148033762509</v>
      </c>
      <c r="H17" s="153">
        <f t="shared" si="7"/>
        <v>92.10148033762509</v>
      </c>
      <c r="I17" s="153">
        <f t="shared" si="7"/>
        <v>92.10148033762509</v>
      </c>
      <c r="J17" s="153">
        <f t="shared" si="7"/>
        <v>92.10148033762509</v>
      </c>
      <c r="K17" s="153">
        <f t="shared" si="7"/>
        <v>92.10148033762509</v>
      </c>
      <c r="L17" s="153">
        <f t="shared" si="7"/>
        <v>92.10148033762509</v>
      </c>
      <c r="M17" s="153">
        <f t="shared" si="7"/>
        <v>92.10148033762509</v>
      </c>
      <c r="N17" s="153">
        <f t="shared" si="7"/>
        <v>92.10148033762509</v>
      </c>
      <c r="O17" s="153">
        <f t="shared" si="7"/>
        <v>92.10148033762509</v>
      </c>
      <c r="P17" s="153">
        <f t="shared" si="7"/>
        <v>92.10148033762509</v>
      </c>
      <c r="Q17" s="153">
        <f t="shared" si="7"/>
        <v>92.10148033762509</v>
      </c>
      <c r="R17" s="153">
        <f t="shared" si="7"/>
        <v>92.10148033762509</v>
      </c>
      <c r="S17" s="153">
        <f t="shared" si="4"/>
        <v>276.30444101287526</v>
      </c>
      <c r="T17" s="4">
        <v>295</v>
      </c>
      <c r="U17" s="111">
        <f t="shared" si="5"/>
        <v>0.06766289719626162</v>
      </c>
    </row>
    <row r="18" spans="1:21" ht="15">
      <c r="A18" s="14" t="s">
        <v>29</v>
      </c>
      <c r="B18" s="14"/>
      <c r="C18" s="15">
        <v>103.2913798178973</v>
      </c>
      <c r="D18" s="15"/>
      <c r="E18" s="150">
        <v>0.07</v>
      </c>
      <c r="F18" s="151">
        <f>+C18*(1+E18)</f>
        <v>110.5217764051501</v>
      </c>
      <c r="G18" s="153">
        <f>+$F18/6</f>
        <v>18.42029606752502</v>
      </c>
      <c r="I18" s="153">
        <f>+$F18/6</f>
        <v>18.42029606752502</v>
      </c>
      <c r="K18" s="153">
        <f>+$F18/6</f>
        <v>18.42029606752502</v>
      </c>
      <c r="M18" s="153">
        <f>+$F18/6</f>
        <v>18.42029606752502</v>
      </c>
      <c r="O18" s="153">
        <f>+$F18/6</f>
        <v>18.42029606752502</v>
      </c>
      <c r="Q18" s="153">
        <f>+$F18/6</f>
        <v>18.42029606752502</v>
      </c>
      <c r="S18" s="153">
        <f t="shared" si="4"/>
        <v>36.84059213505004</v>
      </c>
      <c r="T18" s="4">
        <v>28</v>
      </c>
      <c r="U18" s="111">
        <f t="shared" si="5"/>
        <v>-0.23996878504672903</v>
      </c>
    </row>
    <row r="19" spans="1:21" ht="15">
      <c r="A19" s="14" t="s">
        <v>30</v>
      </c>
      <c r="B19" s="14"/>
      <c r="C19" s="15">
        <v>2107.144148285105</v>
      </c>
      <c r="D19" s="15"/>
      <c r="E19" s="150">
        <v>0.025</v>
      </c>
      <c r="F19" s="151">
        <f>+C19*(1+E19)</f>
        <v>2159.8227519922325</v>
      </c>
      <c r="H19" s="153">
        <f>+$F19/4</f>
        <v>539.9556879980581</v>
      </c>
      <c r="K19" s="153">
        <f>+$F19/4</f>
        <v>539.9556879980581</v>
      </c>
      <c r="N19" s="153">
        <f>+$F19/4</f>
        <v>539.9556879980581</v>
      </c>
      <c r="Q19" s="153">
        <f>+$F19/4</f>
        <v>539.9556879980581</v>
      </c>
      <c r="S19" s="153">
        <f t="shared" si="4"/>
        <v>539.9556879980581</v>
      </c>
      <c r="T19" s="4">
        <v>385</v>
      </c>
      <c r="U19" s="111">
        <f t="shared" si="5"/>
        <v>-0.28697852702056437</v>
      </c>
    </row>
    <row r="20" spans="1:21" ht="15">
      <c r="A20" s="14" t="s">
        <v>31</v>
      </c>
      <c r="B20" s="14"/>
      <c r="C20" s="15">
        <v>702.3813827617017</v>
      </c>
      <c r="D20" s="15"/>
      <c r="E20" s="150">
        <v>0.02</v>
      </c>
      <c r="F20" s="151">
        <f>+C20*(1+E20)</f>
        <v>716.4290104169357</v>
      </c>
      <c r="I20" s="153">
        <f>+$F20/2</f>
        <v>358.21450520846787</v>
      </c>
      <c r="O20" s="153">
        <f>+$F20/2</f>
        <v>358.21450520846787</v>
      </c>
      <c r="S20" s="153">
        <f t="shared" si="4"/>
        <v>358.21450520846787</v>
      </c>
      <c r="T20" s="4">
        <v>358</v>
      </c>
      <c r="U20" s="111">
        <f t="shared" si="5"/>
        <v>-0.0005988177623992286</v>
      </c>
    </row>
    <row r="21" spans="1:21" ht="15.75">
      <c r="A21" s="5" t="s">
        <v>32</v>
      </c>
      <c r="B21" s="5"/>
      <c r="C21" s="20"/>
      <c r="D21" s="20">
        <f>SUM(C17:C20)</f>
        <v>3945.730709043677</v>
      </c>
      <c r="E21" s="8"/>
      <c r="F21" s="98">
        <f>SUM(F17:F20)</f>
        <v>4091.9913028658193</v>
      </c>
      <c r="G21" s="59">
        <f aca="true" t="shared" si="8" ref="G21:T21">SUM(G17:G20)</f>
        <v>110.5217764051501</v>
      </c>
      <c r="H21" s="59">
        <f t="shared" si="8"/>
        <v>632.0571683356832</v>
      </c>
      <c r="I21" s="59">
        <f t="shared" si="8"/>
        <v>468.73628161361796</v>
      </c>
      <c r="J21" s="59">
        <f t="shared" si="8"/>
        <v>92.10148033762509</v>
      </c>
      <c r="K21" s="59">
        <f t="shared" si="8"/>
        <v>650.4774644032083</v>
      </c>
      <c r="L21" s="59">
        <f t="shared" si="8"/>
        <v>92.10148033762509</v>
      </c>
      <c r="M21" s="59">
        <f t="shared" si="8"/>
        <v>110.5217764051501</v>
      </c>
      <c r="N21" s="59">
        <f t="shared" si="8"/>
        <v>632.0571683356832</v>
      </c>
      <c r="O21" s="59">
        <f t="shared" si="8"/>
        <v>468.73628161361796</v>
      </c>
      <c r="P21" s="59">
        <f t="shared" si="8"/>
        <v>92.10148033762509</v>
      </c>
      <c r="Q21" s="59">
        <f t="shared" si="8"/>
        <v>650.4774644032083</v>
      </c>
      <c r="R21" s="59">
        <f t="shared" si="8"/>
        <v>92.10148033762509</v>
      </c>
      <c r="S21" s="153">
        <f t="shared" si="4"/>
        <v>1211.3152263544512</v>
      </c>
      <c r="T21" s="59">
        <f t="shared" si="8"/>
        <v>1066</v>
      </c>
      <c r="U21" s="111">
        <f t="shared" si="5"/>
        <v>-0.11996483094808341</v>
      </c>
    </row>
    <row r="22" spans="1:21" ht="15.75">
      <c r="A22" s="5" t="s">
        <v>34</v>
      </c>
      <c r="B22" s="5"/>
      <c r="C22" s="20"/>
      <c r="D22" s="20">
        <f>+D21+D16</f>
        <v>5196.589318638413</v>
      </c>
      <c r="E22" s="8"/>
      <c r="F22" s="98">
        <f>+F16+F21</f>
        <v>5379.053541086729</v>
      </c>
      <c r="G22" s="98">
        <f aca="true" t="shared" si="9" ref="G22:T22">+G16+G21</f>
        <v>110.5217764051501</v>
      </c>
      <c r="H22" s="98">
        <f t="shared" si="9"/>
        <v>632.0571683356832</v>
      </c>
      <c r="I22" s="98">
        <f t="shared" si="9"/>
        <v>1197.4053205389746</v>
      </c>
      <c r="J22" s="98">
        <f t="shared" si="9"/>
        <v>92.10148033762509</v>
      </c>
      <c r="K22" s="98">
        <f t="shared" si="9"/>
        <v>650.4774644032083</v>
      </c>
      <c r="L22" s="98">
        <f t="shared" si="9"/>
        <v>92.10148033762509</v>
      </c>
      <c r="M22" s="98">
        <f t="shared" si="9"/>
        <v>110.5217764051501</v>
      </c>
      <c r="N22" s="98">
        <f t="shared" si="9"/>
        <v>632.0571683356832</v>
      </c>
      <c r="O22" s="98">
        <f t="shared" si="9"/>
        <v>1027.1294809091708</v>
      </c>
      <c r="P22" s="98">
        <f t="shared" si="9"/>
        <v>92.10148033762509</v>
      </c>
      <c r="Q22" s="98">
        <f t="shared" si="9"/>
        <v>650.4774644032083</v>
      </c>
      <c r="R22" s="98">
        <f t="shared" si="9"/>
        <v>92.10148033762509</v>
      </c>
      <c r="S22" s="155">
        <f t="shared" si="4"/>
        <v>1939.984265279808</v>
      </c>
      <c r="T22" s="155">
        <f t="shared" si="9"/>
        <v>1765</v>
      </c>
      <c r="U22" s="156">
        <f t="shared" si="5"/>
        <v>-0.09019880646020062</v>
      </c>
    </row>
    <row r="23" spans="1:21" ht="15.75">
      <c r="A23" s="5" t="s">
        <v>35</v>
      </c>
      <c r="B23" s="5"/>
      <c r="C23" s="20"/>
      <c r="D23" s="20">
        <v>2695.9050132471198</v>
      </c>
      <c r="E23" s="150">
        <v>0.04</v>
      </c>
      <c r="F23" s="7">
        <f>+D23*(1+E23)</f>
        <v>2803.7412137770048</v>
      </c>
      <c r="G23" s="98">
        <f aca="true" t="shared" si="10" ref="G23:R23">+$F23/12</f>
        <v>233.64510114808374</v>
      </c>
      <c r="H23" s="98">
        <f t="shared" si="10"/>
        <v>233.64510114808374</v>
      </c>
      <c r="I23" s="98">
        <f t="shared" si="10"/>
        <v>233.64510114808374</v>
      </c>
      <c r="J23" s="98">
        <f t="shared" si="10"/>
        <v>233.64510114808374</v>
      </c>
      <c r="K23" s="98">
        <f t="shared" si="10"/>
        <v>233.64510114808374</v>
      </c>
      <c r="L23" s="98">
        <f t="shared" si="10"/>
        <v>233.64510114808374</v>
      </c>
      <c r="M23" s="98">
        <f t="shared" si="10"/>
        <v>233.64510114808374</v>
      </c>
      <c r="N23" s="98">
        <f t="shared" si="10"/>
        <v>233.64510114808374</v>
      </c>
      <c r="O23" s="98">
        <f t="shared" si="10"/>
        <v>233.64510114808374</v>
      </c>
      <c r="P23" s="98">
        <f t="shared" si="10"/>
        <v>233.64510114808374</v>
      </c>
      <c r="Q23" s="98">
        <f t="shared" si="10"/>
        <v>233.64510114808374</v>
      </c>
      <c r="R23" s="98">
        <f t="shared" si="10"/>
        <v>233.64510114808374</v>
      </c>
      <c r="S23" s="155">
        <f t="shared" si="4"/>
        <v>700.9353034442512</v>
      </c>
      <c r="T23" s="155">
        <v>658</v>
      </c>
      <c r="U23" s="156">
        <f t="shared" si="5"/>
        <v>-0.06125430297671697</v>
      </c>
    </row>
    <row r="24" spans="1:21" ht="15">
      <c r="A24" s="14" t="s">
        <v>36</v>
      </c>
      <c r="B24" s="14"/>
      <c r="C24" s="15">
        <v>588.7608649620146</v>
      </c>
      <c r="D24" s="15"/>
      <c r="E24" s="150">
        <v>0.02</v>
      </c>
      <c r="F24" s="151">
        <f>+C24*(1+E24)</f>
        <v>600.5360822612549</v>
      </c>
      <c r="H24" s="153">
        <f>+$F24/4</f>
        <v>150.13402056531373</v>
      </c>
      <c r="K24" s="153">
        <f>+$F24/4</f>
        <v>150.13402056531373</v>
      </c>
      <c r="N24" s="153">
        <f>+$F24/4</f>
        <v>150.13402056531373</v>
      </c>
      <c r="Q24" s="153">
        <f>+$F24/4</f>
        <v>150.13402056531373</v>
      </c>
      <c r="S24" s="153">
        <f t="shared" si="4"/>
        <v>150.13402056531373</v>
      </c>
      <c r="T24" s="4">
        <v>150</v>
      </c>
      <c r="U24" s="111">
        <f t="shared" si="5"/>
        <v>-0.0008926728586171606</v>
      </c>
    </row>
    <row r="25" spans="1:21" ht="15">
      <c r="A25" s="14" t="s">
        <v>39</v>
      </c>
      <c r="B25" s="14"/>
      <c r="C25" s="15">
        <v>275.27152721469633</v>
      </c>
      <c r="D25" s="15"/>
      <c r="E25" s="150">
        <v>0</v>
      </c>
      <c r="F25" s="151">
        <f>+C25*(1+E25)</f>
        <v>275.27152721469633</v>
      </c>
      <c r="I25" s="153">
        <f>+$F25/4</f>
        <v>68.81788180367408</v>
      </c>
      <c r="L25" s="153">
        <f>+$F25/4</f>
        <v>68.81788180367408</v>
      </c>
      <c r="O25" s="153">
        <f>+$F25/4</f>
        <v>68.81788180367408</v>
      </c>
      <c r="R25" s="153">
        <f>+$F25/4</f>
        <v>68.81788180367408</v>
      </c>
      <c r="S25" s="153">
        <f t="shared" si="4"/>
        <v>68.81788180367408</v>
      </c>
      <c r="T25" s="4">
        <v>0</v>
      </c>
      <c r="U25" s="111"/>
    </row>
    <row r="26" spans="1:21" ht="15">
      <c r="A26" s="14" t="s">
        <v>41</v>
      </c>
      <c r="B26" s="14"/>
      <c r="C26" s="15">
        <v>206.5827596357946</v>
      </c>
      <c r="D26" s="15"/>
      <c r="E26" s="150">
        <v>0.07</v>
      </c>
      <c r="F26" s="151">
        <f>+C26*(1+E26)</f>
        <v>221.0435528103002</v>
      </c>
      <c r="H26" s="153">
        <f>+$F26/4</f>
        <v>55.26088820257505</v>
      </c>
      <c r="K26" s="153">
        <f>+$F26/4</f>
        <v>55.26088820257505</v>
      </c>
      <c r="N26" s="153">
        <f>+$F26/4</f>
        <v>55.26088820257505</v>
      </c>
      <c r="Q26" s="153">
        <f>+$F26/4</f>
        <v>55.26088820257505</v>
      </c>
      <c r="S26" s="153">
        <f t="shared" si="4"/>
        <v>55.26088820257505</v>
      </c>
      <c r="T26" s="4">
        <v>58</v>
      </c>
      <c r="U26" s="111">
        <f t="shared" si="5"/>
        <v>0.04956691588785045</v>
      </c>
    </row>
    <row r="27" spans="1:21" ht="15">
      <c r="A27" s="14" t="s">
        <v>346</v>
      </c>
      <c r="B27" s="14"/>
      <c r="C27" s="15">
        <f>+'Bilancio compilato'!D27+'Bilancio compilato'!D28</f>
        <v>1755.3249278</v>
      </c>
      <c r="D27" s="15"/>
      <c r="E27" s="150">
        <v>0.04</v>
      </c>
      <c r="F27" s="151">
        <f>+C27*(1+E27)</f>
        <v>1825.537924912</v>
      </c>
      <c r="I27" s="153">
        <f>+$F27/4</f>
        <v>456.384481228</v>
      </c>
      <c r="L27" s="153">
        <f>+$F27/4</f>
        <v>456.384481228</v>
      </c>
      <c r="O27" s="153">
        <f>+$F27/4</f>
        <v>456.384481228</v>
      </c>
      <c r="R27" s="153">
        <f>+$F27/4</f>
        <v>456.384481228</v>
      </c>
      <c r="S27" s="153">
        <f t="shared" si="4"/>
        <v>456.384481228</v>
      </c>
      <c r="T27" s="4">
        <v>462</v>
      </c>
      <c r="U27" s="111">
        <f t="shared" si="5"/>
        <v>0.012304359598052539</v>
      </c>
    </row>
    <row r="28" spans="1:21" ht="15">
      <c r="A28" s="14" t="s">
        <v>43</v>
      </c>
      <c r="B28" s="14"/>
      <c r="C28" s="15">
        <v>206.5827596357946</v>
      </c>
      <c r="D28" s="15"/>
      <c r="E28" s="150">
        <v>0</v>
      </c>
      <c r="F28" s="151">
        <f>+C28*(1+E28)</f>
        <v>206.5827596357946</v>
      </c>
      <c r="K28" s="59">
        <f>+F28</f>
        <v>206.5827596357946</v>
      </c>
      <c r="S28" s="153">
        <f t="shared" si="4"/>
        <v>0</v>
      </c>
      <c r="T28" s="4">
        <v>0</v>
      </c>
      <c r="U28" s="111"/>
    </row>
    <row r="29" spans="1:21" ht="15.75">
      <c r="A29" s="5" t="s">
        <v>44</v>
      </c>
      <c r="B29" s="5"/>
      <c r="C29" s="20"/>
      <c r="D29" s="20">
        <f>SUM(C24:C28)</f>
        <v>3032.5228392483</v>
      </c>
      <c r="E29" s="8"/>
      <c r="F29" s="98">
        <f>SUM(F24:F28)</f>
        <v>3128.971846834046</v>
      </c>
      <c r="G29" s="59">
        <f aca="true" t="shared" si="11" ref="G29:T29">SUM(G24:G28)</f>
        <v>0</v>
      </c>
      <c r="H29" s="59">
        <f t="shared" si="11"/>
        <v>205.39490876788878</v>
      </c>
      <c r="I29" s="59">
        <f t="shared" si="11"/>
        <v>525.2023630316742</v>
      </c>
      <c r="J29" s="59">
        <f t="shared" si="11"/>
        <v>0</v>
      </c>
      <c r="K29" s="59">
        <f t="shared" si="11"/>
        <v>411.97766840368337</v>
      </c>
      <c r="L29" s="59">
        <f t="shared" si="11"/>
        <v>525.2023630316742</v>
      </c>
      <c r="M29" s="59">
        <f t="shared" si="11"/>
        <v>0</v>
      </c>
      <c r="N29" s="59">
        <f t="shared" si="11"/>
        <v>205.39490876788878</v>
      </c>
      <c r="O29" s="59">
        <f t="shared" si="11"/>
        <v>525.2023630316742</v>
      </c>
      <c r="P29" s="59">
        <f t="shared" si="11"/>
        <v>0</v>
      </c>
      <c r="Q29" s="59">
        <f t="shared" si="11"/>
        <v>205.39490876788878</v>
      </c>
      <c r="R29" s="59">
        <f t="shared" si="11"/>
        <v>525.2023630316742</v>
      </c>
      <c r="S29" s="153">
        <f t="shared" si="4"/>
        <v>730.5972717995629</v>
      </c>
      <c r="T29" s="59">
        <f t="shared" si="11"/>
        <v>670</v>
      </c>
      <c r="U29" s="111">
        <f t="shared" si="5"/>
        <v>-0.08294209975668732</v>
      </c>
    </row>
    <row r="30" spans="1:21" ht="15.75">
      <c r="A30" s="5" t="s">
        <v>45</v>
      </c>
      <c r="B30" s="5"/>
      <c r="C30" s="20"/>
      <c r="D30" s="20">
        <v>1342.7879376326648</v>
      </c>
      <c r="E30" s="150">
        <v>0.02</v>
      </c>
      <c r="F30" s="7">
        <f>+D30*(1+E30)</f>
        <v>1369.6436963853182</v>
      </c>
      <c r="I30" s="153">
        <f>+$F$30/2</f>
        <v>684.8218481926591</v>
      </c>
      <c r="O30" s="153">
        <f>+$F$30/2</f>
        <v>684.8218481926591</v>
      </c>
      <c r="S30" s="153">
        <f t="shared" si="4"/>
        <v>684.8218481926591</v>
      </c>
      <c r="T30" s="4">
        <v>685</v>
      </c>
      <c r="U30" s="111">
        <f t="shared" si="5"/>
        <v>0.00026014328808443565</v>
      </c>
    </row>
    <row r="31" spans="1:21" ht="15.75">
      <c r="A31" s="5" t="s">
        <v>46</v>
      </c>
      <c r="B31" s="5"/>
      <c r="C31" s="20"/>
      <c r="D31" s="20">
        <f>+D30+D29</f>
        <v>4375.310776880965</v>
      </c>
      <c r="E31" s="8"/>
      <c r="F31" s="98">
        <f>+F29+F30</f>
        <v>4498.615543219365</v>
      </c>
      <c r="G31" s="98">
        <f aca="true" t="shared" si="12" ref="G31:T31">+G29+G30</f>
        <v>0</v>
      </c>
      <c r="H31" s="98">
        <f t="shared" si="12"/>
        <v>205.39490876788878</v>
      </c>
      <c r="I31" s="98">
        <f t="shared" si="12"/>
        <v>1210.0242112243332</v>
      </c>
      <c r="J31" s="98">
        <f t="shared" si="12"/>
        <v>0</v>
      </c>
      <c r="K31" s="98">
        <f t="shared" si="12"/>
        <v>411.97766840368337</v>
      </c>
      <c r="L31" s="98">
        <f t="shared" si="12"/>
        <v>525.2023630316742</v>
      </c>
      <c r="M31" s="98">
        <f t="shared" si="12"/>
        <v>0</v>
      </c>
      <c r="N31" s="98">
        <f t="shared" si="12"/>
        <v>205.39490876788878</v>
      </c>
      <c r="O31" s="98">
        <f t="shared" si="12"/>
        <v>1210.0242112243332</v>
      </c>
      <c r="P31" s="98">
        <f t="shared" si="12"/>
        <v>0</v>
      </c>
      <c r="Q31" s="98">
        <f t="shared" si="12"/>
        <v>205.39490876788878</v>
      </c>
      <c r="R31" s="98">
        <f t="shared" si="12"/>
        <v>525.2023630316742</v>
      </c>
      <c r="S31" s="155">
        <f t="shared" si="4"/>
        <v>1415.419119992222</v>
      </c>
      <c r="T31" s="98">
        <f t="shared" si="12"/>
        <v>1355</v>
      </c>
      <c r="U31" s="156">
        <f t="shared" si="5"/>
        <v>-0.04268638111413536</v>
      </c>
    </row>
    <row r="32" spans="1:21" ht="15.75">
      <c r="A32" s="5" t="s">
        <v>47</v>
      </c>
      <c r="B32" s="5"/>
      <c r="C32" s="20"/>
      <c r="D32" s="20">
        <v>551.0595113284821</v>
      </c>
      <c r="E32" s="150">
        <v>0</v>
      </c>
      <c r="F32" s="151">
        <f>+D32*(1+E32)</f>
        <v>551.0595113284821</v>
      </c>
      <c r="G32" s="153">
        <f aca="true" t="shared" si="13" ref="G32:R33">+$F32/12</f>
        <v>45.92162594404018</v>
      </c>
      <c r="H32" s="153">
        <f t="shared" si="13"/>
        <v>45.92162594404018</v>
      </c>
      <c r="I32" s="153">
        <f t="shared" si="13"/>
        <v>45.92162594404018</v>
      </c>
      <c r="J32" s="153">
        <f t="shared" si="13"/>
        <v>45.92162594404018</v>
      </c>
      <c r="K32" s="153">
        <f t="shared" si="13"/>
        <v>45.92162594404018</v>
      </c>
      <c r="L32" s="153">
        <f t="shared" si="13"/>
        <v>45.92162594404018</v>
      </c>
      <c r="M32" s="153">
        <f t="shared" si="13"/>
        <v>45.92162594404018</v>
      </c>
      <c r="N32" s="153">
        <f t="shared" si="13"/>
        <v>45.92162594404018</v>
      </c>
      <c r="O32" s="153">
        <f t="shared" si="13"/>
        <v>45.92162594404018</v>
      </c>
      <c r="P32" s="153">
        <f t="shared" si="13"/>
        <v>45.92162594404018</v>
      </c>
      <c r="Q32" s="153">
        <f t="shared" si="13"/>
        <v>45.92162594404018</v>
      </c>
      <c r="R32" s="153">
        <f t="shared" si="13"/>
        <v>45.92162594404018</v>
      </c>
      <c r="S32" s="153">
        <f t="shared" si="4"/>
        <v>137.76487783212053</v>
      </c>
      <c r="T32" s="153">
        <f>+R32*3</f>
        <v>137.76487783212053</v>
      </c>
      <c r="U32" s="111">
        <f t="shared" si="5"/>
        <v>0</v>
      </c>
    </row>
    <row r="33" spans="1:21" ht="15.75">
      <c r="A33" s="5" t="s">
        <v>48</v>
      </c>
      <c r="B33" s="5"/>
      <c r="C33" s="20"/>
      <c r="D33" s="20">
        <v>3511.9069138085083</v>
      </c>
      <c r="E33" s="150">
        <v>0</v>
      </c>
      <c r="F33" s="151">
        <f>+D33*(1+E33)</f>
        <v>3511.9069138085083</v>
      </c>
      <c r="G33" s="153">
        <f t="shared" si="13"/>
        <v>292.65890948404234</v>
      </c>
      <c r="H33" s="153">
        <f t="shared" si="13"/>
        <v>292.65890948404234</v>
      </c>
      <c r="I33" s="153">
        <f t="shared" si="13"/>
        <v>292.65890948404234</v>
      </c>
      <c r="J33" s="153">
        <f t="shared" si="13"/>
        <v>292.65890948404234</v>
      </c>
      <c r="K33" s="153">
        <f t="shared" si="13"/>
        <v>292.65890948404234</v>
      </c>
      <c r="L33" s="153">
        <f t="shared" si="13"/>
        <v>292.65890948404234</v>
      </c>
      <c r="M33" s="153">
        <f t="shared" si="13"/>
        <v>292.65890948404234</v>
      </c>
      <c r="N33" s="153">
        <f t="shared" si="13"/>
        <v>292.65890948404234</v>
      </c>
      <c r="O33" s="153">
        <f t="shared" si="13"/>
        <v>292.65890948404234</v>
      </c>
      <c r="P33" s="153">
        <f t="shared" si="13"/>
        <v>292.65890948404234</v>
      </c>
      <c r="Q33" s="153">
        <f t="shared" si="13"/>
        <v>292.65890948404234</v>
      </c>
      <c r="R33" s="153">
        <f t="shared" si="13"/>
        <v>292.65890948404234</v>
      </c>
      <c r="S33" s="153">
        <f t="shared" si="4"/>
        <v>877.976728452127</v>
      </c>
      <c r="T33" s="153">
        <f>+R33*3</f>
        <v>877.976728452127</v>
      </c>
      <c r="U33" s="111">
        <f t="shared" si="5"/>
        <v>0</v>
      </c>
    </row>
    <row r="34" spans="1:21" ht="15.75">
      <c r="A34" s="5" t="s">
        <v>49</v>
      </c>
      <c r="B34" s="5"/>
      <c r="C34" s="20"/>
      <c r="D34" s="20">
        <f>+D33+D32</f>
        <v>4062.9664251369904</v>
      </c>
      <c r="E34" s="8"/>
      <c r="F34" s="98">
        <f>+F33+F32</f>
        <v>4062.9664251369904</v>
      </c>
      <c r="G34" s="98">
        <f aca="true" t="shared" si="14" ref="G34:T34">+G33+G32</f>
        <v>338.5805354280825</v>
      </c>
      <c r="H34" s="98">
        <f t="shared" si="14"/>
        <v>338.5805354280825</v>
      </c>
      <c r="I34" s="98">
        <f t="shared" si="14"/>
        <v>338.5805354280825</v>
      </c>
      <c r="J34" s="98">
        <f t="shared" si="14"/>
        <v>338.5805354280825</v>
      </c>
      <c r="K34" s="98">
        <f t="shared" si="14"/>
        <v>338.5805354280825</v>
      </c>
      <c r="L34" s="98">
        <f t="shared" si="14"/>
        <v>338.5805354280825</v>
      </c>
      <c r="M34" s="98">
        <f t="shared" si="14"/>
        <v>338.5805354280825</v>
      </c>
      <c r="N34" s="98">
        <f t="shared" si="14"/>
        <v>338.5805354280825</v>
      </c>
      <c r="O34" s="98">
        <f t="shared" si="14"/>
        <v>338.5805354280825</v>
      </c>
      <c r="P34" s="98">
        <f t="shared" si="14"/>
        <v>338.5805354280825</v>
      </c>
      <c r="Q34" s="98">
        <f t="shared" si="14"/>
        <v>338.5805354280825</v>
      </c>
      <c r="R34" s="98">
        <f t="shared" si="14"/>
        <v>338.5805354280825</v>
      </c>
      <c r="S34" s="155">
        <f t="shared" si="4"/>
        <v>1015.7416062842475</v>
      </c>
      <c r="T34" s="98">
        <f t="shared" si="14"/>
        <v>1015.7416062842475</v>
      </c>
      <c r="U34" s="156">
        <f t="shared" si="5"/>
        <v>0</v>
      </c>
    </row>
    <row r="35" spans="1:21" ht="15">
      <c r="A35" s="14" t="s">
        <v>50</v>
      </c>
      <c r="B35" s="14"/>
      <c r="C35" s="15"/>
      <c r="D35" s="15"/>
      <c r="E35" s="14"/>
      <c r="S35" s="153">
        <f t="shared" si="4"/>
        <v>0</v>
      </c>
      <c r="U35" s="111"/>
    </row>
    <row r="36" spans="1:21" ht="15">
      <c r="A36" s="14" t="s">
        <v>344</v>
      </c>
      <c r="B36" s="14"/>
      <c r="C36" s="15">
        <f>2480*7</f>
        <v>17360</v>
      </c>
      <c r="D36" s="15"/>
      <c r="E36" s="150">
        <v>0.025</v>
      </c>
      <c r="F36" s="151">
        <f>+C36*(1+E36)</f>
        <v>17794</v>
      </c>
      <c r="G36" s="153">
        <f aca="true" t="shared" si="15" ref="G36:R36">+$F36/12</f>
        <v>1482.8333333333333</v>
      </c>
      <c r="H36" s="153">
        <f t="shared" si="15"/>
        <v>1482.8333333333333</v>
      </c>
      <c r="I36" s="153">
        <f t="shared" si="15"/>
        <v>1482.8333333333333</v>
      </c>
      <c r="J36" s="153">
        <f t="shared" si="15"/>
        <v>1482.8333333333333</v>
      </c>
      <c r="K36" s="153">
        <f t="shared" si="15"/>
        <v>1482.8333333333333</v>
      </c>
      <c r="L36" s="153">
        <f t="shared" si="15"/>
        <v>1482.8333333333333</v>
      </c>
      <c r="M36" s="153">
        <f t="shared" si="15"/>
        <v>1482.8333333333333</v>
      </c>
      <c r="N36" s="153">
        <f t="shared" si="15"/>
        <v>1482.8333333333333</v>
      </c>
      <c r="O36" s="153">
        <f t="shared" si="15"/>
        <v>1482.8333333333333</v>
      </c>
      <c r="P36" s="153">
        <f t="shared" si="15"/>
        <v>1482.8333333333333</v>
      </c>
      <c r="Q36" s="153">
        <f t="shared" si="15"/>
        <v>1482.8333333333333</v>
      </c>
      <c r="R36" s="153">
        <f t="shared" si="15"/>
        <v>1482.8333333333333</v>
      </c>
      <c r="S36" s="153">
        <f t="shared" si="4"/>
        <v>4448.5</v>
      </c>
      <c r="T36" s="153">
        <f>+R36*3</f>
        <v>4448.5</v>
      </c>
      <c r="U36" s="111">
        <f t="shared" si="5"/>
        <v>0</v>
      </c>
    </row>
    <row r="37" spans="1:21" ht="15">
      <c r="A37" s="14" t="s">
        <v>52</v>
      </c>
      <c r="B37" s="14"/>
      <c r="C37" s="15"/>
      <c r="D37" s="15"/>
      <c r="E37" s="150"/>
      <c r="S37" s="153">
        <f t="shared" si="4"/>
        <v>0</v>
      </c>
      <c r="U37" s="111"/>
    </row>
    <row r="38" spans="1:21" ht="15">
      <c r="A38" s="14" t="s">
        <v>345</v>
      </c>
      <c r="B38" s="14"/>
      <c r="C38" s="15">
        <f>1200*6</f>
        <v>7200</v>
      </c>
      <c r="D38" s="15"/>
      <c r="E38" s="150">
        <v>0.025</v>
      </c>
      <c r="F38" s="151">
        <f>+C38*(1+E38)</f>
        <v>7379.999999999999</v>
      </c>
      <c r="G38" s="153">
        <f aca="true" t="shared" si="16" ref="G38:R38">+$F38/12</f>
        <v>614.9999999999999</v>
      </c>
      <c r="H38" s="153">
        <f t="shared" si="16"/>
        <v>614.9999999999999</v>
      </c>
      <c r="I38" s="153">
        <f t="shared" si="16"/>
        <v>614.9999999999999</v>
      </c>
      <c r="J38" s="153">
        <f t="shared" si="16"/>
        <v>614.9999999999999</v>
      </c>
      <c r="K38" s="153">
        <f t="shared" si="16"/>
        <v>614.9999999999999</v>
      </c>
      <c r="L38" s="153">
        <f t="shared" si="16"/>
        <v>614.9999999999999</v>
      </c>
      <c r="M38" s="153">
        <f t="shared" si="16"/>
        <v>614.9999999999999</v>
      </c>
      <c r="N38" s="153">
        <f t="shared" si="16"/>
        <v>614.9999999999999</v>
      </c>
      <c r="O38" s="153">
        <f t="shared" si="16"/>
        <v>614.9999999999999</v>
      </c>
      <c r="P38" s="153">
        <f t="shared" si="16"/>
        <v>614.9999999999999</v>
      </c>
      <c r="Q38" s="153">
        <f t="shared" si="16"/>
        <v>614.9999999999999</v>
      </c>
      <c r="R38" s="153">
        <f t="shared" si="16"/>
        <v>614.9999999999999</v>
      </c>
      <c r="S38" s="153">
        <f t="shared" si="4"/>
        <v>1844.9999999999995</v>
      </c>
      <c r="T38" s="153">
        <f>+R38*3</f>
        <v>1844.9999999999995</v>
      </c>
      <c r="U38" s="111">
        <f t="shared" si="5"/>
        <v>0</v>
      </c>
    </row>
    <row r="39" spans="1:21" ht="15.75">
      <c r="A39" s="5" t="s">
        <v>53</v>
      </c>
      <c r="B39" s="5"/>
      <c r="C39" s="20"/>
      <c r="D39" s="20">
        <f>+C36+C38</f>
        <v>24560</v>
      </c>
      <c r="E39" s="8"/>
      <c r="F39" s="98">
        <f>+F38+F36</f>
        <v>25174</v>
      </c>
      <c r="G39" s="59">
        <f aca="true" t="shared" si="17" ref="G39:R39">+G38+G36</f>
        <v>2097.833333333333</v>
      </c>
      <c r="H39" s="59">
        <f t="shared" si="17"/>
        <v>2097.833333333333</v>
      </c>
      <c r="I39" s="59">
        <f t="shared" si="17"/>
        <v>2097.833333333333</v>
      </c>
      <c r="J39" s="59">
        <f t="shared" si="17"/>
        <v>2097.833333333333</v>
      </c>
      <c r="K39" s="59">
        <f t="shared" si="17"/>
        <v>2097.833333333333</v>
      </c>
      <c r="L39" s="59">
        <f t="shared" si="17"/>
        <v>2097.833333333333</v>
      </c>
      <c r="M39" s="59">
        <f t="shared" si="17"/>
        <v>2097.833333333333</v>
      </c>
      <c r="N39" s="59">
        <f t="shared" si="17"/>
        <v>2097.833333333333</v>
      </c>
      <c r="O39" s="59">
        <f t="shared" si="17"/>
        <v>2097.833333333333</v>
      </c>
      <c r="P39" s="59">
        <f t="shared" si="17"/>
        <v>2097.833333333333</v>
      </c>
      <c r="Q39" s="59">
        <f t="shared" si="17"/>
        <v>2097.833333333333</v>
      </c>
      <c r="R39" s="59">
        <f t="shared" si="17"/>
        <v>2097.833333333333</v>
      </c>
      <c r="S39" s="153">
        <f t="shared" si="4"/>
        <v>6293.499999999999</v>
      </c>
      <c r="T39" s="153">
        <f>+R39*3</f>
        <v>6293.499999999999</v>
      </c>
      <c r="U39" s="111">
        <f t="shared" si="5"/>
        <v>0</v>
      </c>
    </row>
    <row r="40" spans="1:21" ht="15.75">
      <c r="A40" s="5" t="s">
        <v>54</v>
      </c>
      <c r="B40" s="5"/>
      <c r="C40" s="20"/>
      <c r="D40" s="20">
        <v>2324.056045902689</v>
      </c>
      <c r="E40" s="8">
        <v>0.025</v>
      </c>
      <c r="F40" s="151">
        <f>+D40*(1+E40)</f>
        <v>2382.1574470502565</v>
      </c>
      <c r="I40" s="153">
        <f>+$F40/4</f>
        <v>595.5393617625641</v>
      </c>
      <c r="L40" s="153">
        <f>+$F40/4</f>
        <v>595.5393617625641</v>
      </c>
      <c r="O40" s="153">
        <f>+$F40/4</f>
        <v>595.5393617625641</v>
      </c>
      <c r="R40" s="153">
        <f>+$F40/4</f>
        <v>595.5393617625641</v>
      </c>
      <c r="S40" s="153">
        <f t="shared" si="4"/>
        <v>595.5393617625641</v>
      </c>
      <c r="T40" s="153">
        <f>+S40</f>
        <v>595.5393617625641</v>
      </c>
      <c r="U40" s="111">
        <f t="shared" si="5"/>
        <v>0</v>
      </c>
    </row>
    <row r="41" spans="1:21" ht="15.75">
      <c r="A41" s="5" t="s">
        <v>57</v>
      </c>
      <c r="B41" s="5"/>
      <c r="C41" s="20"/>
      <c r="D41" s="20">
        <f>SUM(D39:D40)</f>
        <v>26884.05604590269</v>
      </c>
      <c r="E41" s="8"/>
      <c r="F41" s="98">
        <f>+F39+F40</f>
        <v>27556.157447050256</v>
      </c>
      <c r="G41" s="98">
        <f aca="true" t="shared" si="18" ref="G41:T41">+G39+G40</f>
        <v>2097.833333333333</v>
      </c>
      <c r="H41" s="98">
        <f t="shared" si="18"/>
        <v>2097.833333333333</v>
      </c>
      <c r="I41" s="98">
        <f t="shared" si="18"/>
        <v>2693.372695095897</v>
      </c>
      <c r="J41" s="98">
        <f t="shared" si="18"/>
        <v>2097.833333333333</v>
      </c>
      <c r="K41" s="98">
        <f t="shared" si="18"/>
        <v>2097.833333333333</v>
      </c>
      <c r="L41" s="98">
        <f t="shared" si="18"/>
        <v>2693.372695095897</v>
      </c>
      <c r="M41" s="98">
        <f t="shared" si="18"/>
        <v>2097.833333333333</v>
      </c>
      <c r="N41" s="98">
        <f t="shared" si="18"/>
        <v>2097.833333333333</v>
      </c>
      <c r="O41" s="98">
        <f t="shared" si="18"/>
        <v>2693.372695095897</v>
      </c>
      <c r="P41" s="98">
        <f t="shared" si="18"/>
        <v>2097.833333333333</v>
      </c>
      <c r="Q41" s="98">
        <f t="shared" si="18"/>
        <v>2097.833333333333</v>
      </c>
      <c r="R41" s="98">
        <f t="shared" si="18"/>
        <v>2693.372695095897</v>
      </c>
      <c r="S41" s="155">
        <f t="shared" si="4"/>
        <v>6889.039361762563</v>
      </c>
      <c r="T41" s="155">
        <f t="shared" si="18"/>
        <v>6889.039361762563</v>
      </c>
      <c r="U41" s="156">
        <f t="shared" si="5"/>
        <v>0</v>
      </c>
    </row>
    <row r="42" spans="1:21" ht="15.75">
      <c r="A42" s="5" t="s">
        <v>59</v>
      </c>
      <c r="B42" s="5"/>
      <c r="C42" s="20"/>
      <c r="D42" s="20">
        <v>180.75991468132028</v>
      </c>
      <c r="E42" s="8">
        <v>0</v>
      </c>
      <c r="F42" s="151">
        <f>+D42*(1+E42)</f>
        <v>180.75991468132028</v>
      </c>
      <c r="O42" s="59">
        <f>+F42</f>
        <v>180.75991468132028</v>
      </c>
      <c r="S42" s="153">
        <f t="shared" si="4"/>
        <v>0</v>
      </c>
      <c r="U42" s="111"/>
    </row>
    <row r="43" spans="1:21" ht="15.75">
      <c r="A43" s="5" t="s">
        <v>60</v>
      </c>
      <c r="B43" s="5"/>
      <c r="C43" s="20"/>
      <c r="D43" s="20">
        <v>2014.1819064489973</v>
      </c>
      <c r="E43" s="8">
        <v>0</v>
      </c>
      <c r="F43" s="151">
        <f>+D43*(1+E43)</f>
        <v>2014.1819064489973</v>
      </c>
      <c r="G43" s="153">
        <f aca="true" t="shared" si="19" ref="G43:R44">+$F43/12</f>
        <v>167.8484922040831</v>
      </c>
      <c r="H43" s="153">
        <f t="shared" si="19"/>
        <v>167.8484922040831</v>
      </c>
      <c r="I43" s="153">
        <f t="shared" si="19"/>
        <v>167.8484922040831</v>
      </c>
      <c r="J43" s="153">
        <f t="shared" si="19"/>
        <v>167.8484922040831</v>
      </c>
      <c r="K43" s="153">
        <f t="shared" si="19"/>
        <v>167.8484922040831</v>
      </c>
      <c r="L43" s="153">
        <f t="shared" si="19"/>
        <v>167.8484922040831</v>
      </c>
      <c r="M43" s="153">
        <f t="shared" si="19"/>
        <v>167.8484922040831</v>
      </c>
      <c r="N43" s="153">
        <f t="shared" si="19"/>
        <v>167.8484922040831</v>
      </c>
      <c r="O43" s="153">
        <f t="shared" si="19"/>
        <v>167.8484922040831</v>
      </c>
      <c r="P43" s="153">
        <f t="shared" si="19"/>
        <v>167.8484922040831</v>
      </c>
      <c r="Q43" s="153">
        <f t="shared" si="19"/>
        <v>167.8484922040831</v>
      </c>
      <c r="R43" s="153">
        <f t="shared" si="19"/>
        <v>167.8484922040831</v>
      </c>
      <c r="S43" s="153">
        <f t="shared" si="4"/>
        <v>503.54547661224933</v>
      </c>
      <c r="T43" s="153">
        <f>+R43*3</f>
        <v>503.54547661224933</v>
      </c>
      <c r="U43" s="111">
        <f t="shared" si="5"/>
        <v>0</v>
      </c>
    </row>
    <row r="44" spans="1:21" ht="15.75">
      <c r="A44" s="5" t="s">
        <v>61</v>
      </c>
      <c r="B44" s="5"/>
      <c r="C44" s="20"/>
      <c r="D44" s="20">
        <v>3578.0133968919627</v>
      </c>
      <c r="E44" s="8">
        <v>0.02</v>
      </c>
      <c r="F44" s="151">
        <f>+D44*(1+E44)</f>
        <v>3649.573664829802</v>
      </c>
      <c r="G44" s="153">
        <f t="shared" si="19"/>
        <v>304.1311387358168</v>
      </c>
      <c r="H44" s="153">
        <f t="shared" si="19"/>
        <v>304.1311387358168</v>
      </c>
      <c r="I44" s="153">
        <f t="shared" si="19"/>
        <v>304.1311387358168</v>
      </c>
      <c r="J44" s="153">
        <f t="shared" si="19"/>
        <v>304.1311387358168</v>
      </c>
      <c r="K44" s="153">
        <f t="shared" si="19"/>
        <v>304.1311387358168</v>
      </c>
      <c r="L44" s="153">
        <f t="shared" si="19"/>
        <v>304.1311387358168</v>
      </c>
      <c r="M44" s="153">
        <f t="shared" si="19"/>
        <v>304.1311387358168</v>
      </c>
      <c r="N44" s="153">
        <f t="shared" si="19"/>
        <v>304.1311387358168</v>
      </c>
      <c r="O44" s="153">
        <f t="shared" si="19"/>
        <v>304.1311387358168</v>
      </c>
      <c r="P44" s="153">
        <f t="shared" si="19"/>
        <v>304.1311387358168</v>
      </c>
      <c r="Q44" s="153">
        <f t="shared" si="19"/>
        <v>304.1311387358168</v>
      </c>
      <c r="R44" s="153">
        <f t="shared" si="19"/>
        <v>304.1311387358168</v>
      </c>
      <c r="S44" s="153">
        <f t="shared" si="4"/>
        <v>912.3934162074504</v>
      </c>
      <c r="T44" s="153">
        <f>+R44*3</f>
        <v>912.3934162074504</v>
      </c>
      <c r="U44" s="111">
        <f t="shared" si="5"/>
        <v>0</v>
      </c>
    </row>
    <row r="45" spans="1:21" ht="15.75">
      <c r="A45" s="5" t="s">
        <v>62</v>
      </c>
      <c r="B45" s="5"/>
      <c r="C45" s="20"/>
      <c r="D45" s="20">
        <f>SUM(D42:D44)</f>
        <v>5772.95521802228</v>
      </c>
      <c r="E45" s="8"/>
      <c r="F45" s="98">
        <f>+F42+F43+F44</f>
        <v>5844.51548596012</v>
      </c>
      <c r="G45" s="98">
        <f aca="true" t="shared" si="20" ref="G45:T45">+G42+G43+G44</f>
        <v>471.97963093989995</v>
      </c>
      <c r="H45" s="98">
        <f t="shared" si="20"/>
        <v>471.97963093989995</v>
      </c>
      <c r="I45" s="98">
        <f t="shared" si="20"/>
        <v>471.97963093989995</v>
      </c>
      <c r="J45" s="98">
        <f t="shared" si="20"/>
        <v>471.97963093989995</v>
      </c>
      <c r="K45" s="98">
        <f t="shared" si="20"/>
        <v>471.97963093989995</v>
      </c>
      <c r="L45" s="98">
        <f t="shared" si="20"/>
        <v>471.97963093989995</v>
      </c>
      <c r="M45" s="98">
        <f t="shared" si="20"/>
        <v>471.97963093989995</v>
      </c>
      <c r="N45" s="98">
        <f t="shared" si="20"/>
        <v>471.97963093989995</v>
      </c>
      <c r="O45" s="98">
        <f t="shared" si="20"/>
        <v>652.7395456212203</v>
      </c>
      <c r="P45" s="98">
        <f t="shared" si="20"/>
        <v>471.97963093989995</v>
      </c>
      <c r="Q45" s="98">
        <f t="shared" si="20"/>
        <v>471.97963093989995</v>
      </c>
      <c r="R45" s="98">
        <f t="shared" si="20"/>
        <v>471.97963093989995</v>
      </c>
      <c r="S45" s="155">
        <f t="shared" si="4"/>
        <v>1415.9388928197</v>
      </c>
      <c r="T45" s="98">
        <f t="shared" si="20"/>
        <v>1415.9388928196997</v>
      </c>
      <c r="U45" s="156">
        <f t="shared" si="5"/>
        <v>0</v>
      </c>
    </row>
    <row r="46" spans="1:21" ht="15.75">
      <c r="A46" s="9" t="s">
        <v>63</v>
      </c>
      <c r="B46" s="9"/>
      <c r="C46" s="9"/>
      <c r="D46" s="10">
        <f>+D45+D41+D34+D31+D23+D22+D11</f>
        <v>72305.81179171876</v>
      </c>
      <c r="E46" s="148"/>
      <c r="F46" s="10">
        <f>+F45+F41+F34+F31+F23+F22+F11</f>
        <v>74362.48833988512</v>
      </c>
      <c r="G46" s="10">
        <f aca="true" t="shared" si="21" ref="G46:T46">+G45+G41+G34+G31+G23+G22+G11</f>
        <v>6145.10635482999</v>
      </c>
      <c r="H46" s="10">
        <f t="shared" si="21"/>
        <v>6872.036655528413</v>
      </c>
      <c r="I46" s="10">
        <f t="shared" si="21"/>
        <v>9037.553471950712</v>
      </c>
      <c r="J46" s="10">
        <f t="shared" si="21"/>
        <v>6126.686058762465</v>
      </c>
      <c r="K46" s="10">
        <f t="shared" si="21"/>
        <v>5348.1875366899585</v>
      </c>
      <c r="L46" s="10">
        <f t="shared" si="21"/>
        <v>5498.57560901493</v>
      </c>
      <c r="M46" s="10">
        <f t="shared" si="21"/>
        <v>4396.254180288217</v>
      </c>
      <c r="N46" s="10">
        <f t="shared" si="21"/>
        <v>5123.184480986639</v>
      </c>
      <c r="O46" s="10">
        <f t="shared" si="21"/>
        <v>7299.185372460455</v>
      </c>
      <c r="P46" s="10">
        <f t="shared" si="21"/>
        <v>4377.833884220692</v>
      </c>
      <c r="Q46" s="10">
        <f t="shared" si="21"/>
        <v>6890.456951595937</v>
      </c>
      <c r="R46" s="10">
        <f t="shared" si="21"/>
        <v>7247.427783556704</v>
      </c>
      <c r="S46" s="10">
        <f t="shared" si="4"/>
        <v>22054.696482309115</v>
      </c>
      <c r="T46" s="10">
        <f t="shared" si="21"/>
        <v>21870.719860866513</v>
      </c>
      <c r="U46" s="156">
        <f t="shared" si="5"/>
        <v>-0.00834183420253265</v>
      </c>
    </row>
    <row r="47" spans="1:6" ht="15">
      <c r="A47" s="13" t="s">
        <v>8</v>
      </c>
      <c r="B47"/>
      <c r="C47"/>
      <c r="D47" s="23"/>
      <c r="E47"/>
      <c r="F47" s="24"/>
    </row>
    <row r="48" spans="1:6" ht="15">
      <c r="A48"/>
      <c r="B48"/>
      <c r="C48"/>
      <c r="D48" s="23"/>
      <c r="E48"/>
      <c r="F48" s="24"/>
    </row>
    <row r="49" spans="1:6" ht="15">
      <c r="A49"/>
      <c r="B49"/>
      <c r="C49"/>
      <c r="D49"/>
      <c r="E49"/>
      <c r="F49" s="24"/>
    </row>
    <row r="50" spans="1:5" ht="15.75">
      <c r="A50" s="1" t="s">
        <v>80</v>
      </c>
      <c r="B50" s="5"/>
      <c r="C50" s="5"/>
      <c r="D50" s="5"/>
      <c r="E50" s="5"/>
    </row>
    <row r="51" spans="1:7" ht="15.75">
      <c r="A51" s="17"/>
      <c r="B51" s="17"/>
      <c r="C51" s="18"/>
      <c r="D51" s="18" t="s">
        <v>343</v>
      </c>
      <c r="E51" s="149"/>
      <c r="G51" s="24"/>
    </row>
    <row r="52" spans="1:21" ht="15.75">
      <c r="A52" s="5" t="s">
        <v>10</v>
      </c>
      <c r="B52" s="5"/>
      <c r="C52" s="20"/>
      <c r="D52" s="20">
        <f>+D7</f>
        <v>64182.681134345934</v>
      </c>
      <c r="E52" s="8"/>
      <c r="F52" s="20">
        <f>+F7</f>
        <v>66723.26173519189</v>
      </c>
      <c r="S52" s="20">
        <f>+S7</f>
        <v>15178.763696493103</v>
      </c>
      <c r="T52" s="20">
        <f>+T7</f>
        <v>15210</v>
      </c>
      <c r="U52" s="156">
        <f aca="true" t="shared" si="22" ref="U52:U75">+(T52/S52)-1</f>
        <v>0.002057895104732088</v>
      </c>
    </row>
    <row r="53" spans="1:21" ht="15.75">
      <c r="A53" s="5" t="s">
        <v>68</v>
      </c>
      <c r="B53" s="5"/>
      <c r="C53" s="20"/>
      <c r="D53" s="20">
        <f>+D11+D22+D23+D29-C28-C19-C20-C25-C27</f>
        <v>29196.341419326855</v>
      </c>
      <c r="E53" s="8"/>
      <c r="F53" s="98">
        <f>+F11+F16+F17+F18+F23+F24+F26</f>
        <v>30345.561311180776</v>
      </c>
      <c r="S53" s="98">
        <f>+S11+S16+S17+S18+S23+S24+S26</f>
        <v>10625.782217011745</v>
      </c>
      <c r="T53" s="98">
        <f>+T11+T16+T17+T18+T23+T24+T26</f>
        <v>10660</v>
      </c>
      <c r="U53" s="156">
        <f t="shared" si="22"/>
        <v>0.003220260145504694</v>
      </c>
    </row>
    <row r="54" spans="1:21" ht="15.75">
      <c r="A54" s="5" t="s">
        <v>69</v>
      </c>
      <c r="B54" s="5"/>
      <c r="C54" s="20"/>
      <c r="D54" s="20">
        <f>+C19+C20+C25+D32+D33</f>
        <v>7147.763483398494</v>
      </c>
      <c r="E54" s="8"/>
      <c r="F54" s="20">
        <f>+F19+F20+F25+F32+F33</f>
        <v>7214.489714760855</v>
      </c>
      <c r="S54" s="20">
        <f>+S19+S20+S25+S32+S33</f>
        <v>1982.7296812944476</v>
      </c>
      <c r="T54" s="20">
        <f>+T19+T20+T25+T32+T33</f>
        <v>1758.7416062842476</v>
      </c>
      <c r="U54" s="156">
        <f t="shared" si="22"/>
        <v>-0.11296954755020705</v>
      </c>
    </row>
    <row r="55" spans="1:21" ht="15.75">
      <c r="A55" s="5" t="s">
        <v>70</v>
      </c>
      <c r="B55" s="5"/>
      <c r="C55" s="20"/>
      <c r="D55" s="20">
        <f>+C28+C27</f>
        <v>1961.9076874357947</v>
      </c>
      <c r="E55" s="8"/>
      <c r="F55" s="20">
        <f>+F28+F27</f>
        <v>2032.1206845477948</v>
      </c>
      <c r="S55" s="20">
        <f>+S28+S27</f>
        <v>456.384481228</v>
      </c>
      <c r="T55" s="20">
        <f>+T28+T27</f>
        <v>462</v>
      </c>
      <c r="U55" s="156">
        <f t="shared" si="22"/>
        <v>0.012304359598052539</v>
      </c>
    </row>
    <row r="56" spans="1:21" ht="15.75">
      <c r="A56" s="5" t="s">
        <v>71</v>
      </c>
      <c r="B56" s="5"/>
      <c r="C56" s="20"/>
      <c r="D56" s="20">
        <f>SUM(D53:D55)</f>
        <v>38306.01259016114</v>
      </c>
      <c r="E56" s="8"/>
      <c r="F56" s="20">
        <f>SUM(F53:F55)</f>
        <v>39592.17171048943</v>
      </c>
      <c r="S56" s="20">
        <f>SUM(S53:S55)</f>
        <v>13064.896379534193</v>
      </c>
      <c r="T56" s="20">
        <f>SUM(T53:T55)</f>
        <v>12880.741606284248</v>
      </c>
      <c r="U56" s="156">
        <f t="shared" si="22"/>
        <v>-0.014095387204020926</v>
      </c>
    </row>
    <row r="57" spans="1:21" ht="15.75">
      <c r="A57" s="5"/>
      <c r="B57" s="5" t="s">
        <v>75</v>
      </c>
      <c r="C57" s="20"/>
      <c r="D57" s="20">
        <f>+D52-D56</f>
        <v>25876.668544184795</v>
      </c>
      <c r="E57" s="8"/>
      <c r="F57" s="20">
        <f>+F52-F56</f>
        <v>27131.090024702462</v>
      </c>
      <c r="S57" s="20">
        <f>+S52-S56</f>
        <v>2113.867316958909</v>
      </c>
      <c r="T57" s="20">
        <f>+T52-T56</f>
        <v>2329.2583937157524</v>
      </c>
      <c r="U57" s="156">
        <f t="shared" si="22"/>
        <v>0.10189432185682934</v>
      </c>
    </row>
    <row r="58" spans="1:21" ht="15.75">
      <c r="A58" s="5" t="s">
        <v>72</v>
      </c>
      <c r="B58" s="5"/>
      <c r="C58" s="20"/>
      <c r="D58" s="20">
        <f>+D39+D40</f>
        <v>26884.05604590269</v>
      </c>
      <c r="E58" s="8"/>
      <c r="F58" s="20">
        <f>+F39+F40</f>
        <v>27556.157447050256</v>
      </c>
      <c r="S58" s="20">
        <f>+S39+S40</f>
        <v>6889.039361762563</v>
      </c>
      <c r="T58" s="20">
        <f>+T39+T40</f>
        <v>6889.039361762563</v>
      </c>
      <c r="U58" s="156">
        <f t="shared" si="22"/>
        <v>0</v>
      </c>
    </row>
    <row r="59" spans="1:21" ht="15.75">
      <c r="A59" s="5" t="s">
        <v>73</v>
      </c>
      <c r="B59" s="5"/>
      <c r="C59" s="20"/>
      <c r="D59" s="20">
        <f>+D45-D43</f>
        <v>3758.7733115732826</v>
      </c>
      <c r="E59" s="8"/>
      <c r="F59" s="20">
        <f>+F45-F43</f>
        <v>3830.3335795111225</v>
      </c>
      <c r="S59" s="20">
        <f>+S45-S43</f>
        <v>912.3934162074506</v>
      </c>
      <c r="T59" s="20">
        <f>+T45-T43</f>
        <v>912.3934162074504</v>
      </c>
      <c r="U59" s="156">
        <f t="shared" si="22"/>
        <v>0</v>
      </c>
    </row>
    <row r="60" spans="1:21" ht="15.75">
      <c r="A60" s="5" t="s">
        <v>74</v>
      </c>
      <c r="B60" s="5"/>
      <c r="C60" s="20"/>
      <c r="D60" s="20">
        <f>+D43+D30</f>
        <v>3356.969844081662</v>
      </c>
      <c r="E60" s="8"/>
      <c r="F60" s="20">
        <f>+F43+F30</f>
        <v>3383.8256028343158</v>
      </c>
      <c r="S60" s="20">
        <f>+S43+S30</f>
        <v>1188.3673248049085</v>
      </c>
      <c r="T60" s="20">
        <f>+T43+T30</f>
        <v>1188.5454766122493</v>
      </c>
      <c r="U60" s="156">
        <f t="shared" si="22"/>
        <v>0.00014991308126899305</v>
      </c>
    </row>
    <row r="61" spans="1:21" ht="15.75">
      <c r="A61" s="5" t="s">
        <v>76</v>
      </c>
      <c r="B61" s="5"/>
      <c r="C61" s="20"/>
      <c r="D61" s="20">
        <f>SUM(D58:D60)</f>
        <v>33999.79920155764</v>
      </c>
      <c r="E61" s="8"/>
      <c r="F61" s="20">
        <f>SUM(F58:F60)</f>
        <v>34770.3166293957</v>
      </c>
      <c r="S61" s="20">
        <f>SUM(S58:S60)</f>
        <v>8989.800102774923</v>
      </c>
      <c r="T61" s="20">
        <f>SUM(T58:T60)</f>
        <v>8989.978254582264</v>
      </c>
      <c r="U61" s="156">
        <f t="shared" si="22"/>
        <v>1.981710441878448E-05</v>
      </c>
    </row>
    <row r="62" spans="1:21" ht="15.75">
      <c r="A62" s="5"/>
      <c r="B62" s="5" t="s">
        <v>77</v>
      </c>
      <c r="C62" s="20"/>
      <c r="D62" s="20">
        <f>+D30+D40+D42</f>
        <v>3847.603898216674</v>
      </c>
      <c r="E62" s="8"/>
      <c r="F62" s="20">
        <f>+F30+F40+F42</f>
        <v>3932.5610581168953</v>
      </c>
      <c r="S62" s="20">
        <f>+S30+S40+S42</f>
        <v>1280.3612099552233</v>
      </c>
      <c r="T62" s="20">
        <f>+T30+T40+T42</f>
        <v>1280.539361762564</v>
      </c>
      <c r="U62" s="156">
        <f t="shared" si="22"/>
        <v>0.00013914183431640303</v>
      </c>
    </row>
    <row r="63" spans="1:21" ht="15.75">
      <c r="A63" s="5" t="s">
        <v>406</v>
      </c>
      <c r="B63" s="5"/>
      <c r="C63" s="20"/>
      <c r="D63" s="20">
        <f>+D73</f>
        <v>22029.064645968116</v>
      </c>
      <c r="E63" s="8"/>
      <c r="F63" s="20">
        <f>+F73</f>
        <v>23198.52896658556</v>
      </c>
      <c r="S63" s="20">
        <f>+S73</f>
        <v>833.5061070036845</v>
      </c>
      <c r="T63" s="20">
        <f>+T73</f>
        <v>1048.7190319531874</v>
      </c>
      <c r="U63" s="156">
        <f t="shared" si="22"/>
        <v>0.25820197733542405</v>
      </c>
    </row>
    <row r="64" spans="1:21" ht="15.75">
      <c r="A64" s="5" t="s">
        <v>408</v>
      </c>
      <c r="B64" s="5"/>
      <c r="C64" s="20"/>
      <c r="D64" s="20">
        <f>+'Bilancio compilato'!D7</f>
        <v>1263</v>
      </c>
      <c r="E64" s="8"/>
      <c r="F64" s="20">
        <v>1280</v>
      </c>
      <c r="S64" s="20">
        <f>+'Bilancio compilato'!U7</f>
        <v>0</v>
      </c>
      <c r="T64" s="20">
        <f>+'Bilancio compilato'!V7</f>
        <v>0</v>
      </c>
      <c r="U64" s="156"/>
    </row>
    <row r="65" spans="1:21" ht="15.75">
      <c r="A65" s="5" t="s">
        <v>407</v>
      </c>
      <c r="B65" s="5"/>
      <c r="C65" s="20"/>
      <c r="D65" s="20">
        <f>+D63+D64</f>
        <v>23292.064645968116</v>
      </c>
      <c r="E65" s="8"/>
      <c r="F65" s="20">
        <f>+F63+F64</f>
        <v>24478.52896658556</v>
      </c>
      <c r="S65" s="20">
        <f>+S63+S64</f>
        <v>833.5061070036845</v>
      </c>
      <c r="T65" s="20">
        <f>+T63+T64</f>
        <v>1048.7190319531874</v>
      </c>
      <c r="U65" s="156">
        <f t="shared" si="22"/>
        <v>0.25820197733542405</v>
      </c>
    </row>
    <row r="66" spans="1:21" ht="15.75">
      <c r="A66" s="5" t="s">
        <v>78</v>
      </c>
      <c r="B66" s="5"/>
      <c r="C66" s="20"/>
      <c r="D66" s="20">
        <f>+D75</f>
        <v>-6860.130657372829</v>
      </c>
      <c r="E66" s="8"/>
      <c r="F66" s="20">
        <f>+F75</f>
        <v>-6359.226604693235</v>
      </c>
      <c r="S66" s="20">
        <f>+S75</f>
        <v>-6875.932785816012</v>
      </c>
      <c r="T66" s="20">
        <f>+T75</f>
        <v>-6660.719860866513</v>
      </c>
      <c r="U66" s="156">
        <f t="shared" si="22"/>
        <v>-0.031299451529463784</v>
      </c>
    </row>
    <row r="67" spans="1:21" ht="15.75">
      <c r="A67" s="5"/>
      <c r="B67" s="5"/>
      <c r="C67" s="20"/>
      <c r="D67" s="20"/>
      <c r="E67" s="8"/>
      <c r="F67" s="20"/>
      <c r="S67" s="20"/>
      <c r="T67" s="20"/>
      <c r="U67" s="156"/>
    </row>
    <row r="68" spans="1:21" ht="15.75">
      <c r="A68" s="5" t="str">
        <f>+A46</f>
        <v>          COSTI TOTALI</v>
      </c>
      <c r="B68" s="5"/>
      <c r="C68" s="20"/>
      <c r="D68" s="20">
        <f>+D46</f>
        <v>72305.81179171876</v>
      </c>
      <c r="E68" s="8"/>
      <c r="F68" s="20">
        <f>+F46</f>
        <v>74362.48833988512</v>
      </c>
      <c r="S68" s="20">
        <f>+S46</f>
        <v>22054.696482309115</v>
      </c>
      <c r="T68" s="20">
        <f>+T46</f>
        <v>21870.719860866513</v>
      </c>
      <c r="U68" s="156">
        <f t="shared" si="22"/>
        <v>-0.00834183420253265</v>
      </c>
    </row>
    <row r="69" spans="1:21" ht="15.75">
      <c r="A69" s="5" t="s">
        <v>11</v>
      </c>
      <c r="B69" s="5"/>
      <c r="C69" s="20"/>
      <c r="D69" s="20">
        <f>+C19+C25+C28+D30+D34+D41+D43</f>
        <v>36892.99075025694</v>
      </c>
      <c r="E69" s="8"/>
      <c r="F69" s="20">
        <f>+F19+F25+F28+F30+F34+F41+F43</f>
        <v>37644.626513864285</v>
      </c>
      <c r="S69" s="20">
        <f>+S19+S25+S28+S30+S34+S41+S43</f>
        <v>9701.921862653451</v>
      </c>
      <c r="T69" s="20">
        <f>+T19+T25+T28+T30+T34+T41+T43</f>
        <v>9478.32644465906</v>
      </c>
      <c r="U69" s="156">
        <f t="shared" si="22"/>
        <v>-0.02304650781151918</v>
      </c>
    </row>
    <row r="70" spans="1:21" ht="15.75">
      <c r="A70" s="5" t="s">
        <v>12</v>
      </c>
      <c r="B70" s="5"/>
      <c r="C70" s="20"/>
      <c r="D70" s="20">
        <f>+D46-D69</f>
        <v>35412.82104146182</v>
      </c>
      <c r="E70" s="8"/>
      <c r="F70" s="20">
        <f>+F46-F69</f>
        <v>36717.86182602084</v>
      </c>
      <c r="S70" s="20">
        <f>+S46-S69</f>
        <v>12352.774619655664</v>
      </c>
      <c r="T70" s="20">
        <f>+T46-T69</f>
        <v>12392.393416207453</v>
      </c>
      <c r="U70" s="156">
        <f t="shared" si="22"/>
        <v>0.0032072791556276847</v>
      </c>
    </row>
    <row r="71" spans="1:21" ht="15.75">
      <c r="A71" s="5" t="s">
        <v>13</v>
      </c>
      <c r="B71" s="5"/>
      <c r="C71" s="20"/>
      <c r="D71" s="20">
        <f>+D11+D22+D23+D31+D34+D40+D42</f>
        <v>42153.61648837782</v>
      </c>
      <c r="E71" s="8"/>
      <c r="F71" s="20">
        <f>+F11+F22+F23+F31+F34+F40+F42</f>
        <v>43524.73276860633</v>
      </c>
      <c r="S71" s="20">
        <f>+S11+S22+S23+S31+S34+S40+S42</f>
        <v>14345.257589489418</v>
      </c>
      <c r="T71" s="20">
        <f>+T11+T22+T23+T31+T34+T40+T42</f>
        <v>14161.280968046813</v>
      </c>
      <c r="U71" s="156">
        <f t="shared" si="22"/>
        <v>-0.012824908879810026</v>
      </c>
    </row>
    <row r="72" spans="1:21" ht="15.75">
      <c r="A72" s="5" t="s">
        <v>14</v>
      </c>
      <c r="B72" s="5"/>
      <c r="C72" s="20"/>
      <c r="D72" s="20">
        <f>+D46-D71</f>
        <v>30152.195303340945</v>
      </c>
      <c r="E72" s="8"/>
      <c r="F72" s="20">
        <f>+F46-F71</f>
        <v>30837.755571278794</v>
      </c>
      <c r="S72" s="20">
        <f>+S46-S71</f>
        <v>7709.438892819697</v>
      </c>
      <c r="T72" s="20">
        <f>+T46-T71</f>
        <v>7709.4388928197</v>
      </c>
      <c r="U72" s="156">
        <f t="shared" si="22"/>
        <v>0</v>
      </c>
    </row>
    <row r="73" spans="1:21" ht="15.75">
      <c r="A73" s="5" t="s">
        <v>15</v>
      </c>
      <c r="B73" s="5"/>
      <c r="C73" s="20"/>
      <c r="D73" s="20">
        <f>+D7-D71</f>
        <v>22029.064645968116</v>
      </c>
      <c r="E73" s="8"/>
      <c r="F73" s="20">
        <f>+F7-F71</f>
        <v>23198.52896658556</v>
      </c>
      <c r="S73" s="20">
        <f>+S7-S71</f>
        <v>833.5061070036845</v>
      </c>
      <c r="T73" s="20">
        <f>+T7-T71</f>
        <v>1048.7190319531874</v>
      </c>
      <c r="U73" s="156">
        <f t="shared" si="22"/>
        <v>0.25820197733542405</v>
      </c>
    </row>
    <row r="74" spans="1:21" ht="15.75">
      <c r="A74" s="5" t="s">
        <v>16</v>
      </c>
      <c r="B74" s="5"/>
      <c r="C74" s="20"/>
      <c r="D74" s="20">
        <f>+D73-D43-D44+D40</f>
        <v>18760.925388529846</v>
      </c>
      <c r="E74" s="8"/>
      <c r="F74" s="20">
        <f>+F73-F43-F44+F40</f>
        <v>19916.93084235702</v>
      </c>
      <c r="S74" s="20">
        <f>+S73-S43-S44+S40</f>
        <v>13.106575946548901</v>
      </c>
      <c r="T74" s="20">
        <f>+T73-T43-T44+T40</f>
        <v>228.31950089605175</v>
      </c>
      <c r="U74" s="156">
        <f t="shared" si="22"/>
        <v>16.420224918177098</v>
      </c>
    </row>
    <row r="75" spans="1:21" ht="15.75">
      <c r="A75" s="9" t="s">
        <v>17</v>
      </c>
      <c r="B75" s="9"/>
      <c r="C75" s="21"/>
      <c r="D75" s="21">
        <f>+D7-D46+D64</f>
        <v>-6860.130657372829</v>
      </c>
      <c r="E75" s="148"/>
      <c r="F75" s="21">
        <f>+F7-F46+F64</f>
        <v>-6359.226604693235</v>
      </c>
      <c r="S75" s="21">
        <f>+S7-S46+S64</f>
        <v>-6875.932785816012</v>
      </c>
      <c r="T75" s="21">
        <f>+T7-T46+T64</f>
        <v>-6660.719860866513</v>
      </c>
      <c r="U75" s="156">
        <f t="shared" si="22"/>
        <v>-0.031299451529463784</v>
      </c>
    </row>
    <row r="76" spans="1:5" ht="15">
      <c r="A76" s="13" t="s">
        <v>8</v>
      </c>
      <c r="B76" s="14"/>
      <c r="C76" s="14"/>
      <c r="D76" s="15"/>
      <c r="E76" s="14"/>
    </row>
  </sheetData>
  <mergeCells count="1">
    <mergeCell ref="C8:D8"/>
  </mergeCells>
  <printOptions horizontalCentered="1" verticalCentered="1"/>
  <pageMargins left="0.7874015748031497" right="0.7874015748031497" top="0.72" bottom="0.66" header="0.5118110236220472" footer="0.5118110236220472"/>
  <pageSetup fitToHeight="2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D.E.P.A.A.A.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Pretolani</dc:creator>
  <cp:keywords/>
  <dc:description/>
  <cp:lastModifiedBy>Roberto Pretolani</cp:lastModifiedBy>
  <cp:lastPrinted>2003-02-03T07:39:43Z</cp:lastPrinted>
  <dcterms:created xsi:type="dcterms:W3CDTF">1999-04-13T16:28:28Z</dcterms:created>
  <dcterms:modified xsi:type="dcterms:W3CDTF">2009-02-17T17:27:01Z</dcterms:modified>
  <cp:category/>
  <cp:version/>
  <cp:contentType/>
  <cp:contentStatus/>
</cp:coreProperties>
</file>