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1575" windowWidth="9375" windowHeight="4935" tabRatio="622" firstSheet="15" activeTab="16"/>
  </bookViews>
  <sheets>
    <sheet name="superfici" sheetId="1" r:id="rId1"/>
    <sheet name="manodopera" sheetId="2" r:id="rId2"/>
    <sheet name="terreni" sheetId="3" r:id="rId3"/>
    <sheet name="coefficienti" sheetId="4" r:id="rId4"/>
    <sheet name="fabbricati" sheetId="5" r:id="rId5"/>
    <sheet name="macchine" sheetId="6" r:id="rId6"/>
    <sheet name="acq.macchine" sheetId="7" r:id="rId7"/>
    <sheet name="mutui" sheetId="8" r:id="rId8"/>
    <sheet name="allevamenti consistenza" sheetId="9" r:id="rId9"/>
    <sheet name="inv prodotti" sheetId="10" r:id="rId10"/>
    <sheet name="magazzini prodotti" sheetId="11" r:id="rId11"/>
    <sheet name="magazzini mezzi" sheetId="12" r:id="rId12"/>
    <sheet name="spese colture" sheetId="13" r:id="rId13"/>
    <sheet name="spese allev" sheetId="14" r:id="rId14"/>
    <sheet name="spese mecc" sheetId="15" r:id="rId15"/>
    <sheet name="spese varie" sheetId="16" r:id="rId16"/>
    <sheet name="Dati tecnici" sheetId="17" r:id="rId17"/>
    <sheet name="Bilancio compilato" sheetId="18" r:id="rId18"/>
    <sheet name="Costi e ricavi" sheetId="19" r:id="rId19"/>
    <sheet name="C. economico sit.patrimoniale" sheetId="20" r:id="rId20"/>
    <sheet name="Conti colturali " sheetId="21" r:id="rId21"/>
    <sheet name="Break even" sheetId="22" r:id="rId22"/>
    <sheet name="Costi e ricavi (2)" sheetId="23" r:id="rId23"/>
  </sheets>
  <definedNames>
    <definedName name="_xlnm.Print_Area" localSheetId="6">'acq.macchine'!$B$1:$P$14</definedName>
    <definedName name="_xlnm.Print_Area" localSheetId="8">'allevamenti consistenza'!$D$1:$R$20</definedName>
    <definedName name="_xlnm.Print_Area" localSheetId="17">'Bilancio compilato'!$A$1:$E$57</definedName>
    <definedName name="_xlnm.Print_Area" localSheetId="21">'Break even'!$A$1:$G$35</definedName>
    <definedName name="_xlnm.Print_Area" localSheetId="19">'C. economico sit.patrimoniale'!$B$160:$H$192</definedName>
    <definedName name="_xlnm.Print_Area" localSheetId="3">'coefficienti'!$A$1:$E$36</definedName>
    <definedName name="_xlnm.Print_Area" localSheetId="20">'Conti colturali '!$A$45:$G$269</definedName>
    <definedName name="_xlnm.Print_Area" localSheetId="18">'Costi e ricavi'!$A$1:$F$51</definedName>
    <definedName name="_xlnm.Print_Area" localSheetId="22">'Costi e ricavi (2)'!$A$2:$E$47</definedName>
    <definedName name="_xlnm.Print_Area" localSheetId="16">'Dati tecnici'!$A$1:$G$19</definedName>
    <definedName name="_xlnm.Print_Area" localSheetId="4">'fabbricati'!$A$1:$O$45</definedName>
    <definedName name="_xlnm.Print_Area" localSheetId="9">'inv prodotti'!$A$1:$K$10</definedName>
    <definedName name="_xlnm.Print_Area" localSheetId="5">'macchine'!$A$1:$Q$292</definedName>
    <definedName name="_xlnm.Print_Area" localSheetId="11">'magazzini mezzi'!$B$146:$H$206</definedName>
    <definedName name="_xlnm.Print_Area" localSheetId="10">'magazzini prodotti'!$B$47:$H$76</definedName>
    <definedName name="_xlnm.Print_Area" localSheetId="1">'manodopera'!$A$1:$L$6</definedName>
    <definedName name="_xlnm.Print_Area" localSheetId="7">'mutui'!$F$6:$N$21</definedName>
    <definedName name="_xlnm.Print_Area" localSheetId="13">'spese allev'!$C$1:$O$65</definedName>
    <definedName name="_xlnm.Print_Area" localSheetId="12">'spese colture'!$A$1:$S$26</definedName>
    <definedName name="_xlnm.Print_Area" localSheetId="14">'spese mecc'!$A$1:$K$13</definedName>
    <definedName name="_xlnm.Print_Area" localSheetId="15">'spese varie'!$A$1:$I$27</definedName>
    <definedName name="_xlnm.Print_Area" localSheetId="2">'terreni'!$A$1:$H$9</definedName>
    <definedName name="DATABASE" localSheetId="6">'acq.macchine'!#REF!</definedName>
    <definedName name="DATABASE" localSheetId="8">'allevamenti consistenza'!#REF!</definedName>
    <definedName name="DATABASE" localSheetId="4">'fabbricati'!#REF!</definedName>
    <definedName name="DATABASE" localSheetId="9">'inv prodotti'!#REF!</definedName>
    <definedName name="DATABASE" localSheetId="11">'magazzini mezzi'!#REF!</definedName>
    <definedName name="DATABASE" localSheetId="10">'magazzini prodotti'!$A$4:$T$44</definedName>
    <definedName name="DATABASE" localSheetId="7">'mutui'!$A$1:$P$2</definedName>
    <definedName name="DATABASE" localSheetId="13">'spese allev'!$A$1:$V$64</definedName>
    <definedName name="DATABASE" localSheetId="12">'spese colture'!$A$1:$Z$26</definedName>
    <definedName name="DATABASE" localSheetId="14">'spese mecc'!$A$1:$K$12</definedName>
    <definedName name="DATABASE" localSheetId="15">'spese varie'!$A$1:$J$26</definedName>
    <definedName name="DATABASE" localSheetId="0">'superfici'!$A$1:$H$6</definedName>
    <definedName name="DATABASE">'macchine'!#REF!</definedName>
  </definedNames>
  <calcPr fullCalcOnLoad="1"/>
</workbook>
</file>

<file path=xl/sharedStrings.xml><?xml version="1.0" encoding="utf-8"?>
<sst xmlns="http://schemas.openxmlformats.org/spreadsheetml/2006/main" count="3678" uniqueCount="956">
  <si>
    <t>CODAZI</t>
  </si>
  <si>
    <t>ANNORIF</t>
  </si>
  <si>
    <t>CODMAC</t>
  </si>
  <si>
    <t>DESCR</t>
  </si>
  <si>
    <t>CAVAL</t>
  </si>
  <si>
    <t>AACQUI</t>
  </si>
  <si>
    <t>AAIMM</t>
  </si>
  <si>
    <t>VALNUO</t>
  </si>
  <si>
    <t>DURFUT</t>
  </si>
  <si>
    <t>DURTOT</t>
  </si>
  <si>
    <t>DURTRA</t>
  </si>
  <si>
    <t>AMMORT</t>
  </si>
  <si>
    <t>VALATT</t>
  </si>
  <si>
    <t>CODPOS</t>
  </si>
  <si>
    <t>PRAF</t>
  </si>
  <si>
    <t>DETTAGLIO</t>
  </si>
  <si>
    <t>P</t>
  </si>
  <si>
    <t>101.1</t>
  </si>
  <si>
    <t>TRATTORE TRAZ.DOPPIA</t>
  </si>
  <si>
    <t>101.2</t>
  </si>
  <si>
    <t>112.0</t>
  </si>
  <si>
    <t>MOTOFALCIATRICE</t>
  </si>
  <si>
    <t>205.0</t>
  </si>
  <si>
    <t>ARATRO DOPPIO POLIV.</t>
  </si>
  <si>
    <t>214.0</t>
  </si>
  <si>
    <t>COLTIVATORE</t>
  </si>
  <si>
    <t>217.0</t>
  </si>
  <si>
    <t>ERPICE ROTANTE</t>
  </si>
  <si>
    <t>225.0</t>
  </si>
  <si>
    <t>RULLO COMPRESSORE</t>
  </si>
  <si>
    <t>SCAVAFOSSI NON SEMOV</t>
  </si>
  <si>
    <t>251.0</t>
  </si>
  <si>
    <t>CARROBOTTE</t>
  </si>
  <si>
    <t>319.0</t>
  </si>
  <si>
    <t>BARRA * DISERBO</t>
  </si>
  <si>
    <t>349.0</t>
  </si>
  <si>
    <t>RANGHINATORE</t>
  </si>
  <si>
    <t>640.0</t>
  </si>
  <si>
    <t>ATTREZZI * OFFICINA</t>
  </si>
  <si>
    <t>650.0</t>
  </si>
  <si>
    <t>IMPIANTI VARI</t>
  </si>
  <si>
    <t>135.0</t>
  </si>
  <si>
    <t>MOTORANGHINATORE</t>
  </si>
  <si>
    <t>238.0</t>
  </si>
  <si>
    <t>275.0</t>
  </si>
  <si>
    <t>POMPA ASPIRANTE</t>
  </si>
  <si>
    <t>SEMINATRICE A FILE</t>
  </si>
  <si>
    <t>348.0</t>
  </si>
  <si>
    <t>VOLTAFIENO</t>
  </si>
  <si>
    <t>RIMORCHIO AGRIC. 4R</t>
  </si>
  <si>
    <t>342.0</t>
  </si>
  <si>
    <t>RACCOGLI IMBALLATRIC</t>
  </si>
  <si>
    <t>625.1</t>
  </si>
  <si>
    <t>ELEVATORE</t>
  </si>
  <si>
    <t>625.2</t>
  </si>
  <si>
    <t>101.3</t>
  </si>
  <si>
    <t>101.4</t>
  </si>
  <si>
    <t>SPANDILETAME</t>
  </si>
  <si>
    <t>454.0</t>
  </si>
  <si>
    <t>501.0</t>
  </si>
  <si>
    <t>DESILATORE</t>
  </si>
  <si>
    <t>506.0</t>
  </si>
  <si>
    <t>MOLINO</t>
  </si>
  <si>
    <t>513.0</t>
  </si>
  <si>
    <t>REFRIGERATORE</t>
  </si>
  <si>
    <t>534.1</t>
  </si>
  <si>
    <t>IMPIANTI ZOOT.VARI</t>
  </si>
  <si>
    <t>VARIE * LAVORO TERRA</t>
  </si>
  <si>
    <t>249.1</t>
  </si>
  <si>
    <t>249.2</t>
  </si>
  <si>
    <t>TRAINATO</t>
  </si>
  <si>
    <t>436.0</t>
  </si>
  <si>
    <t>CARRI MISCELATORI</t>
  </si>
  <si>
    <t>TRASPORTAT*DEIEZIONI</t>
  </si>
  <si>
    <t>534.2</t>
  </si>
  <si>
    <t>534.3</t>
  </si>
  <si>
    <t>534.4</t>
  </si>
  <si>
    <t>215.0</t>
  </si>
  <si>
    <t>ERPICE A DENTI</t>
  </si>
  <si>
    <t>2301575104278</t>
  </si>
  <si>
    <t>FIAT 670</t>
  </si>
  <si>
    <t>J.DEERE 3350</t>
  </si>
  <si>
    <t>BCS</t>
  </si>
  <si>
    <t>FUTURA M.36</t>
  </si>
  <si>
    <t>FISSI</t>
  </si>
  <si>
    <t>TRACCIASOLCHI MALT</t>
  </si>
  <si>
    <t>FASCIATRICE</t>
  </si>
  <si>
    <t>DA 100QL</t>
  </si>
  <si>
    <t>257.0</t>
  </si>
  <si>
    <t>TURBINA DIAM.30</t>
  </si>
  <si>
    <t>289.1</t>
  </si>
  <si>
    <t>MAIS 4 FILE</t>
  </si>
  <si>
    <t>289.2</t>
  </si>
  <si>
    <t>FRUMENTO 2 MT</t>
  </si>
  <si>
    <t>289.3</t>
  </si>
  <si>
    <t>BOTTE DISERBO 500L</t>
  </si>
  <si>
    <t>338.0</t>
  </si>
  <si>
    <t>FALCIA CONDIZIONATR.</t>
  </si>
  <si>
    <t>ROTOIMB.VOLVO</t>
  </si>
  <si>
    <t>FRANGITUTTO MOBILE</t>
  </si>
  <si>
    <t>DA 45 QL LATTE</t>
  </si>
  <si>
    <t>517.1</t>
  </si>
  <si>
    <t>N.2 RUSPETTE AUT.</t>
  </si>
  <si>
    <t>517.2</t>
  </si>
  <si>
    <t>517.3</t>
  </si>
  <si>
    <t>N.2 PER PADDOCK</t>
  </si>
  <si>
    <t>SALA MUNG.TEC.5+5</t>
  </si>
  <si>
    <t>SILOS VETRORESINA</t>
  </si>
  <si>
    <t>N.16 BOX PER VIT.</t>
  </si>
  <si>
    <t>620.1</t>
  </si>
  <si>
    <t>AERATORE MECCANICO</t>
  </si>
  <si>
    <t>N.3 VENTILATORI</t>
  </si>
  <si>
    <t>620.2</t>
  </si>
  <si>
    <t>VENT.SALA MUNGIT.</t>
  </si>
  <si>
    <t>621.0</t>
  </si>
  <si>
    <t>CALDAIA</t>
  </si>
  <si>
    <t>ACQUA CALDA</t>
  </si>
  <si>
    <t>ELEVAT.IN DISUSO</t>
  </si>
  <si>
    <t>COCLEA</t>
  </si>
  <si>
    <t>645.1</t>
  </si>
  <si>
    <t>GABBIE * ANIMALI</t>
  </si>
  <si>
    <t>CUCCETTE N.100</t>
  </si>
  <si>
    <t>645.2</t>
  </si>
  <si>
    <t>CIST.GASOLIO 40QL</t>
  </si>
  <si>
    <t>A</t>
  </si>
  <si>
    <t>DATA</t>
  </si>
  <si>
    <t>VENDIT</t>
  </si>
  <si>
    <t>SATTIV</t>
  </si>
  <si>
    <t>SPASSIV</t>
  </si>
  <si>
    <t>MANUT</t>
  </si>
  <si>
    <t>PREMI</t>
  </si>
  <si>
    <t>VALUSA</t>
  </si>
  <si>
    <t>CONTAPAC</t>
  </si>
  <si>
    <t>S</t>
  </si>
  <si>
    <t>FERABOLI MASTER</t>
  </si>
  <si>
    <t>AGRIFULL 80</t>
  </si>
  <si>
    <t>LAMA REGISTRABILE</t>
  </si>
  <si>
    <t>CODFAB</t>
  </si>
  <si>
    <t>QUANTIT</t>
  </si>
  <si>
    <t>AACOS</t>
  </si>
  <si>
    <t>COST_UN</t>
  </si>
  <si>
    <t>COSTRIC</t>
  </si>
  <si>
    <t>01.1</t>
  </si>
  <si>
    <t>ABITAZIONE SALARIATI</t>
  </si>
  <si>
    <t>09.1</t>
  </si>
  <si>
    <t>PORTICATO</t>
  </si>
  <si>
    <t>12.1</t>
  </si>
  <si>
    <t>MAGAZZINO</t>
  </si>
  <si>
    <t>20.1</t>
  </si>
  <si>
    <t>20.3</t>
  </si>
  <si>
    <t>21.1</t>
  </si>
  <si>
    <t>66.1</t>
  </si>
  <si>
    <t>66.3</t>
  </si>
  <si>
    <t>66.5</t>
  </si>
  <si>
    <t>69.1</t>
  </si>
  <si>
    <t>SILO TORRE A PRESS.</t>
  </si>
  <si>
    <t>74.1</t>
  </si>
  <si>
    <t>SILO ORIZZ. TRINCEA</t>
  </si>
  <si>
    <t>CODVID</t>
  </si>
  <si>
    <t>CODALL</t>
  </si>
  <si>
    <t>CAPII</t>
  </si>
  <si>
    <t>VALUI</t>
  </si>
  <si>
    <t>VALTI</t>
  </si>
  <si>
    <t>VALUFI</t>
  </si>
  <si>
    <t>VALTFI</t>
  </si>
  <si>
    <t>NCAPII</t>
  </si>
  <si>
    <t>BIM1</t>
  </si>
  <si>
    <t>BIM2</t>
  </si>
  <si>
    <t>BIM3</t>
  </si>
  <si>
    <t>BIM4</t>
  </si>
  <si>
    <t>BIM5</t>
  </si>
  <si>
    <t>BIM6</t>
  </si>
  <si>
    <t>MEDIA</t>
  </si>
  <si>
    <t>CAPIF</t>
  </si>
  <si>
    <t>VALUF</t>
  </si>
  <si>
    <t>VALTF</t>
  </si>
  <si>
    <t>NCAPIF</t>
  </si>
  <si>
    <t>11</t>
  </si>
  <si>
    <t>1102</t>
  </si>
  <si>
    <t>ALTRI BOV.MASC.&lt; 1A.</t>
  </si>
  <si>
    <t>1104</t>
  </si>
  <si>
    <t>BOVINI 1÷2 A.FEMMINE</t>
  </si>
  <si>
    <t>1106</t>
  </si>
  <si>
    <t>GIOVENCHE * ALLEVAM.</t>
  </si>
  <si>
    <t>1108</t>
  </si>
  <si>
    <t>VACCHE LATTIFERE</t>
  </si>
  <si>
    <t>1112</t>
  </si>
  <si>
    <t>ALTRE BOV.FEMM.&lt;1 A.</t>
  </si>
  <si>
    <t>1</t>
  </si>
  <si>
    <t>CODCOL</t>
  </si>
  <si>
    <t>COLPRI</t>
  </si>
  <si>
    <t>COLCON</t>
  </si>
  <si>
    <t>COLSUC</t>
  </si>
  <si>
    <t>COLSUP</t>
  </si>
  <si>
    <t>261140</t>
  </si>
  <si>
    <t>MAIS DA FORAGGIO</t>
  </si>
  <si>
    <t>262140</t>
  </si>
  <si>
    <t>LOIETTO</t>
  </si>
  <si>
    <t>264130</t>
  </si>
  <si>
    <t>MEDICA</t>
  </si>
  <si>
    <t>293130</t>
  </si>
  <si>
    <t>PRATO POLIF.AVVICEND</t>
  </si>
  <si>
    <t>492100</t>
  </si>
  <si>
    <t>ALTRE SUPERFICI</t>
  </si>
  <si>
    <t>UNMIS</t>
  </si>
  <si>
    <t>QUANT</t>
  </si>
  <si>
    <t>CODFONTE</t>
  </si>
  <si>
    <t>CODDEB</t>
  </si>
  <si>
    <t>ANNO</t>
  </si>
  <si>
    <t>AMINIZ</t>
  </si>
  <si>
    <t>TASSO</t>
  </si>
  <si>
    <t>TASSO_AG</t>
  </si>
  <si>
    <t>QCAP</t>
  </si>
  <si>
    <t>QINT</t>
  </si>
  <si>
    <t>CONT_INT</t>
  </si>
  <si>
    <t>FL1</t>
  </si>
  <si>
    <t>MUTUO STALLA</t>
  </si>
  <si>
    <t>DEBRES</t>
  </si>
  <si>
    <t>TARE</t>
  </si>
  <si>
    <t>29.2</t>
  </si>
  <si>
    <t>29.1</t>
  </si>
  <si>
    <t>PRATO IRRIGUO</t>
  </si>
  <si>
    <t>07.2</t>
  </si>
  <si>
    <t>07.1</t>
  </si>
  <si>
    <t>SEMINATIVO IRRIGUO</t>
  </si>
  <si>
    <t>02.2</t>
  </si>
  <si>
    <t>02.1</t>
  </si>
  <si>
    <t>VALTO</t>
  </si>
  <si>
    <t>VALH</t>
  </si>
  <si>
    <t>SUPH</t>
  </si>
  <si>
    <t>CODTER</t>
  </si>
  <si>
    <t>CODMA</t>
  </si>
  <si>
    <t>NMESE</t>
  </si>
  <si>
    <t>ORE</t>
  </si>
  <si>
    <t>GG</t>
  </si>
  <si>
    <t>SALAR</t>
  </si>
  <si>
    <t>ONSOC</t>
  </si>
  <si>
    <t>1001</t>
  </si>
  <si>
    <t>12</t>
  </si>
  <si>
    <t>3501</t>
  </si>
  <si>
    <t>5501</t>
  </si>
  <si>
    <t>5502</t>
  </si>
  <si>
    <t>REGOC</t>
  </si>
  <si>
    <t>ANASC</t>
  </si>
  <si>
    <t>FERT</t>
  </si>
  <si>
    <t>CODPRO</t>
  </si>
  <si>
    <t>QUANTI</t>
  </si>
  <si>
    <t>PREZI</t>
  </si>
  <si>
    <t>VALORI</t>
  </si>
  <si>
    <t>QUANTF</t>
  </si>
  <si>
    <t>PREZF</t>
  </si>
  <si>
    <t>VALORF</t>
  </si>
  <si>
    <t>114140</t>
  </si>
  <si>
    <t>TRITICALE</t>
  </si>
  <si>
    <t>QL</t>
  </si>
  <si>
    <t>1150</t>
  </si>
  <si>
    <t>1162</t>
  </si>
  <si>
    <t>CONTATORE</t>
  </si>
  <si>
    <t>PREZ</t>
  </si>
  <si>
    <t>IMPREIM</t>
  </si>
  <si>
    <t>CODREIM</t>
  </si>
  <si>
    <t>COLTATT</t>
  </si>
  <si>
    <t>ANTCOLT</t>
  </si>
  <si>
    <t>AUTOC</t>
  </si>
  <si>
    <t>IMMOB</t>
  </si>
  <si>
    <t>PRODES</t>
  </si>
  <si>
    <t>PROTRA</t>
  </si>
  <si>
    <t>VPROTRA</t>
  </si>
  <si>
    <t>INVENT</t>
  </si>
  <si>
    <t>CODIMMOB</t>
  </si>
  <si>
    <t>ACQUA</t>
  </si>
  <si>
    <t>ASSIC</t>
  </si>
  <si>
    <t>ELETT</t>
  </si>
  <si>
    <t>ALTRE</t>
  </si>
  <si>
    <t>TRASF</t>
  </si>
  <si>
    <t>ORE_FAM</t>
  </si>
  <si>
    <t>ORE_FISS</t>
  </si>
  <si>
    <t>ORE_AVV</t>
  </si>
  <si>
    <t>ORE_MACC</t>
  </si>
  <si>
    <t>SEMI</t>
  </si>
  <si>
    <t>ANTIP</t>
  </si>
  <si>
    <t>DISER</t>
  </si>
  <si>
    <t>NOLPAS</t>
  </si>
  <si>
    <t>COMB</t>
  </si>
  <si>
    <t>MATPRI</t>
  </si>
  <si>
    <t>RSEME</t>
  </si>
  <si>
    <t>RLETA</t>
  </si>
  <si>
    <t>TEMPO</t>
  </si>
  <si>
    <t>KG</t>
  </si>
  <si>
    <t>CARBUR</t>
  </si>
  <si>
    <t>LUBRIF</t>
  </si>
  <si>
    <t>SPESE</t>
  </si>
  <si>
    <t>FORFET</t>
  </si>
  <si>
    <t>LT</t>
  </si>
  <si>
    <t>DESCRI</t>
  </si>
  <si>
    <t>ASSIC1</t>
  </si>
  <si>
    <t>IMPOS1</t>
  </si>
  <si>
    <t>MANUF</t>
  </si>
  <si>
    <t>ASSIC2</t>
  </si>
  <si>
    <t>IMPOS2</t>
  </si>
  <si>
    <t>AFFIT</t>
  </si>
  <si>
    <t>MANUT.CALDAIA</t>
  </si>
  <si>
    <t>LAVORI ELETTRIC</t>
  </si>
  <si>
    <t>SACCO X TRINCEE</t>
  </si>
  <si>
    <t>ANALISI SILOS</t>
  </si>
  <si>
    <t>FOGLIO POLIURET</t>
  </si>
  <si>
    <t>CONTABILITA'</t>
  </si>
  <si>
    <t>DIVERSI</t>
  </si>
  <si>
    <t>MANGIME POLLI</t>
  </si>
  <si>
    <t>MANGIME GALLINE</t>
  </si>
  <si>
    <t>ENEL</t>
  </si>
  <si>
    <t>MANUTENZIONE</t>
  </si>
  <si>
    <t>AFFITTO</t>
  </si>
  <si>
    <t>CAR</t>
  </si>
  <si>
    <t>CON</t>
  </si>
  <si>
    <t>DIS</t>
  </si>
  <si>
    <t>LASSO</t>
  </si>
  <si>
    <t>CLICK</t>
  </si>
  <si>
    <t>TITUS</t>
  </si>
  <si>
    <t>VALIANT</t>
  </si>
  <si>
    <t>DIV</t>
  </si>
  <si>
    <t>FOR</t>
  </si>
  <si>
    <t>FIENO</t>
  </si>
  <si>
    <t>LET</t>
  </si>
  <si>
    <t>PAGLIA</t>
  </si>
  <si>
    <t>LUB</t>
  </si>
  <si>
    <t>HYDROSYS</t>
  </si>
  <si>
    <t>OLIO FIAT</t>
  </si>
  <si>
    <t>OLIO IDRAUL</t>
  </si>
  <si>
    <t>MULTITURBO</t>
  </si>
  <si>
    <t>HYDRAULIC</t>
  </si>
  <si>
    <t>OLIO 15FHP</t>
  </si>
  <si>
    <t>HYPOIDE</t>
  </si>
  <si>
    <t>FINAMATIC</t>
  </si>
  <si>
    <t>MAN</t>
  </si>
  <si>
    <t>SEM</t>
  </si>
  <si>
    <t>SAU</t>
  </si>
  <si>
    <t>COST_STORICO</t>
  </si>
  <si>
    <t>COEFF</t>
  </si>
  <si>
    <t>VAL_STORICO</t>
  </si>
  <si>
    <t>TOTALE MACCHINE</t>
  </si>
  <si>
    <t>TOTALE VALORE MACCHINE ATTUALE</t>
  </si>
  <si>
    <t>AMMORTAMENTI BANCA DATI RICA</t>
  </si>
  <si>
    <t>AMMORTAMENTI CON % LEGGE SU VALORE NUOVO</t>
  </si>
  <si>
    <t>AMMORTAMENTI CON % LEGGE SU VALORE STORICO</t>
  </si>
  <si>
    <t>AMMORTAMENTI CON % TECNICA SU VALORE STORICO</t>
  </si>
  <si>
    <t>AMMORTAMENTI CON % LEGGE SU VALORE ATTUALE</t>
  </si>
  <si>
    <t>AMMORTAMENTI CON % LEGGE DOPPIO TEMPO SU VALORE STORICO</t>
  </si>
  <si>
    <t>AMMORTAMENTI CON % LEGGE DOPPIE SU VALORE ATTUALE</t>
  </si>
  <si>
    <t>GIOVENCHE A VACCHE</t>
  </si>
  <si>
    <t>VENDITE VACCHE</t>
  </si>
  <si>
    <t>NASCITE MASCHI</t>
  </si>
  <si>
    <t>NASCITE FEMMINE</t>
  </si>
  <si>
    <t>VENDITE VITELLE</t>
  </si>
  <si>
    <t>VENDITE VITELLI</t>
  </si>
  <si>
    <t>MANZETTE A GIOVENCHE</t>
  </si>
  <si>
    <t>VITELLE A MANZETTE</t>
  </si>
  <si>
    <t>Rata</t>
  </si>
  <si>
    <t>Inventario iniziale gasolio agricolo</t>
  </si>
  <si>
    <t>Acquisto gasolio agricolo</t>
  </si>
  <si>
    <t>Inventario finale gasolio agricolo</t>
  </si>
  <si>
    <t>D</t>
  </si>
  <si>
    <t>Utilizzo gasolio agricolo</t>
  </si>
  <si>
    <t>TOTALE</t>
  </si>
  <si>
    <t>C/MAGAZZINO</t>
  </si>
  <si>
    <t>CARBURANTI</t>
  </si>
  <si>
    <t>DESCRIZIONE</t>
  </si>
  <si>
    <t>UM</t>
  </si>
  <si>
    <t>q</t>
  </si>
  <si>
    <t>Quantità</t>
  </si>
  <si>
    <t>Prezzo</t>
  </si>
  <si>
    <t>LUBRIFICANTI</t>
  </si>
  <si>
    <t>Inventario iniziale lubrificanti</t>
  </si>
  <si>
    <t>Lt.</t>
  </si>
  <si>
    <t>Utilizzo lubrificanti</t>
  </si>
  <si>
    <t>Inventario finale lubrificanti</t>
  </si>
  <si>
    <t>CONCIMI</t>
  </si>
  <si>
    <t>Acquisto KCL</t>
  </si>
  <si>
    <t>Acquisto UREA</t>
  </si>
  <si>
    <t>Utilizzo UREA Silomais</t>
  </si>
  <si>
    <t xml:space="preserve">Codice </t>
  </si>
  <si>
    <t>Coltura</t>
  </si>
  <si>
    <t>Utilizzo KCL Silomais</t>
  </si>
  <si>
    <t>DISERBANTI</t>
  </si>
  <si>
    <t>Diserbo Silomais</t>
  </si>
  <si>
    <t>SEMENTI</t>
  </si>
  <si>
    <t>Acquisto semente Loiessa</t>
  </si>
  <si>
    <t>Kg</t>
  </si>
  <si>
    <t>Semina Silomais</t>
  </si>
  <si>
    <t>Acquisto seme Mais</t>
  </si>
  <si>
    <t>Sac</t>
  </si>
  <si>
    <t>Mangime vacche</t>
  </si>
  <si>
    <t>Latte in polvere</t>
  </si>
  <si>
    <t>Mangime rimonta</t>
  </si>
  <si>
    <t>Mangime vitelli</t>
  </si>
  <si>
    <t>Polpe bietola</t>
  </si>
  <si>
    <t>Sali minerali</t>
  </si>
  <si>
    <t>Integratori</t>
  </si>
  <si>
    <t>Diversi</t>
  </si>
  <si>
    <t>Mangimi diversi</t>
  </si>
  <si>
    <t>Sodio propionato</t>
  </si>
  <si>
    <t>Farina pesce</t>
  </si>
  <si>
    <t>Utilizzo latte in polvere</t>
  </si>
  <si>
    <t>Utilizzo mangime rimonta</t>
  </si>
  <si>
    <t>Foraggi acquistati</t>
  </si>
  <si>
    <t>Lettimi acquistati</t>
  </si>
  <si>
    <t>Utilizzo mangime vacche</t>
  </si>
  <si>
    <t>Utilizzo mangime vitelli</t>
  </si>
  <si>
    <t>Utilizzo fieno</t>
  </si>
  <si>
    <t>Utilizzo paglia</t>
  </si>
  <si>
    <t>Mangimi vacche</t>
  </si>
  <si>
    <t>Fieno acquistato</t>
  </si>
  <si>
    <t>FIENO Inventario finale</t>
  </si>
  <si>
    <t>Descrizione</t>
  </si>
  <si>
    <t>Medica reimp.</t>
  </si>
  <si>
    <t>Fieno reimp.</t>
  </si>
  <si>
    <t>Silomais reimp</t>
  </si>
  <si>
    <t>Loiessa reimp.</t>
  </si>
  <si>
    <t>Letame</t>
  </si>
  <si>
    <t>Sementi</t>
  </si>
  <si>
    <t>Altre spese</t>
  </si>
  <si>
    <t>Concimi</t>
  </si>
  <si>
    <t>Diserbanti</t>
  </si>
  <si>
    <t>Raccolta</t>
  </si>
  <si>
    <t>Inventario iniziale</t>
  </si>
  <si>
    <t>Vendita prodotto</t>
  </si>
  <si>
    <t>Sopravvenienza attiva</t>
  </si>
  <si>
    <t>SILOMAIS</t>
  </si>
  <si>
    <t>Inventario finale</t>
  </si>
  <si>
    <t>Indennità PAC</t>
  </si>
  <si>
    <t>Utilizzo allevamento</t>
  </si>
  <si>
    <t>LOIESSA</t>
  </si>
  <si>
    <t>FIENO MEDICA</t>
  </si>
  <si>
    <t>FIENO PRATO</t>
  </si>
  <si>
    <t>Produzione gennaio</t>
  </si>
  <si>
    <t>Produzione febbraio</t>
  </si>
  <si>
    <t>Produzione marzo</t>
  </si>
  <si>
    <t>Produzione aprile</t>
  </si>
  <si>
    <t>Produzione maggio</t>
  </si>
  <si>
    <t>Produzione giugno</t>
  </si>
  <si>
    <t>Produzione luglio</t>
  </si>
  <si>
    <t>Produzione agosto</t>
  </si>
  <si>
    <t>Produzione settembre</t>
  </si>
  <si>
    <t>Produzione ottobre</t>
  </si>
  <si>
    <t>Produzione novembre</t>
  </si>
  <si>
    <t>Produzione dicembre</t>
  </si>
  <si>
    <t>LATTE BOVINO</t>
  </si>
  <si>
    <t>LETAME</t>
  </si>
  <si>
    <t>Distribuzione prato</t>
  </si>
  <si>
    <t>Distribuzione medica</t>
  </si>
  <si>
    <t>Distribuzione silomais</t>
  </si>
  <si>
    <t>Imposte fondiarie</t>
  </si>
  <si>
    <t>Contributo bonifica</t>
  </si>
  <si>
    <t>CAPIIF</t>
  </si>
  <si>
    <t>FONDO AMMORTAMENTO</t>
  </si>
  <si>
    <t>TOTALE VALORE ATTUALE</t>
  </si>
  <si>
    <t>VALORE ATTUALE MACCHINE</t>
  </si>
  <si>
    <t>VALORE ACQUISTI E MAN STRAORD</t>
  </si>
  <si>
    <t>SAL ORARIO</t>
  </si>
  <si>
    <t>SAL.CALC</t>
  </si>
  <si>
    <t>LATTE</t>
  </si>
  <si>
    <t>FIENO PRATO POLIF.AVVICEND</t>
  </si>
  <si>
    <t>INVENTARIO PRODOTTI</t>
  </si>
  <si>
    <t>Macchine</t>
  </si>
  <si>
    <t>Costruzioni</t>
  </si>
  <si>
    <t>Silomais</t>
  </si>
  <si>
    <t>Superficie</t>
  </si>
  <si>
    <t>Costi</t>
  </si>
  <si>
    <t>Totali</t>
  </si>
  <si>
    <t>Costi unitari</t>
  </si>
  <si>
    <t>Superficie (ettari)</t>
  </si>
  <si>
    <t>Resa (100 kg/ettaro)</t>
  </si>
  <si>
    <t>Noleggi</t>
  </si>
  <si>
    <t>Costi specifici monetari</t>
  </si>
  <si>
    <t>Costi specifici calcolati</t>
  </si>
  <si>
    <t>TOTALE COSTI SPECIFICI</t>
  </si>
  <si>
    <t>Reimpiego letame</t>
  </si>
  <si>
    <t>Valore unitario prodotto (100 kg)</t>
  </si>
  <si>
    <t>Valore totale prodotto</t>
  </si>
  <si>
    <t>Produzione (100 kg)</t>
  </si>
  <si>
    <t>per ettaro</t>
  </si>
  <si>
    <t>per 100 kg</t>
  </si>
  <si>
    <t>Percentuale sulla superficie</t>
  </si>
  <si>
    <t>Percentuale sulla produzione lorda</t>
  </si>
  <si>
    <t>Percentuale sui costi specifici</t>
  </si>
  <si>
    <t>Costi specifici</t>
  </si>
  <si>
    <t>Carburanti e lubrificanti</t>
  </si>
  <si>
    <t>% alla</t>
  </si>
  <si>
    <t>coltura</t>
  </si>
  <si>
    <t>Onere  totale</t>
  </si>
  <si>
    <t>Spese generali</t>
  </si>
  <si>
    <t>Ammortamento macchine</t>
  </si>
  <si>
    <t>Ammortamento fabbricati</t>
  </si>
  <si>
    <t>Manutenzione macchine</t>
  </si>
  <si>
    <t>Manutenzione fabbricati</t>
  </si>
  <si>
    <t>Assicurazioni</t>
  </si>
  <si>
    <t>Salari pagati</t>
  </si>
  <si>
    <t>Interessi pagati</t>
  </si>
  <si>
    <t>Affitti passivi</t>
  </si>
  <si>
    <t>Costi congiunti espliciti</t>
  </si>
  <si>
    <t>Costi congiunti calcolati</t>
  </si>
  <si>
    <t>Lavoro familiare</t>
  </si>
  <si>
    <t>Valore d'uso terreni</t>
  </si>
  <si>
    <t>TOTALE COSTI CONGIUNTI</t>
  </si>
  <si>
    <t>TOTALE COSTI</t>
  </si>
  <si>
    <t>Contributo PAC</t>
  </si>
  <si>
    <t>VALORE DELLA PRODUZIONE</t>
  </si>
  <si>
    <t>Valore del prodotto</t>
  </si>
  <si>
    <t>Produzione lorda</t>
  </si>
  <si>
    <t>Latte</t>
  </si>
  <si>
    <t>Carne</t>
  </si>
  <si>
    <t>Insilato di loiessa</t>
  </si>
  <si>
    <t>Fieno di erba medica</t>
  </si>
  <si>
    <t>Quantità (100 kg)</t>
  </si>
  <si>
    <t>Valore</t>
  </si>
  <si>
    <t>Margine lordo</t>
  </si>
  <si>
    <t>MARGINE LORDO</t>
  </si>
  <si>
    <t>MARGINE NETTO</t>
  </si>
  <si>
    <t>Superficie in secondo raccolto (ettari)</t>
  </si>
  <si>
    <t xml:space="preserve"> - di cui con secondo raccolto</t>
  </si>
  <si>
    <t xml:space="preserve"> - di cui coltura unica</t>
  </si>
  <si>
    <t>Fieno di prato stabile</t>
  </si>
  <si>
    <t>% PL</t>
  </si>
  <si>
    <t>% Costi</t>
  </si>
  <si>
    <t>% SAU</t>
  </si>
  <si>
    <t>Costi congiunti e criteri di ripartizione</t>
  </si>
  <si>
    <t>Allevamento da latte</t>
  </si>
  <si>
    <t>Numero vacche in lattazione</t>
  </si>
  <si>
    <t>Resa (100 kg/vacca)</t>
  </si>
  <si>
    <t>per vacca</t>
  </si>
  <si>
    <t>Mangimi acquistati</t>
  </si>
  <si>
    <t>Spese sanitarie</t>
  </si>
  <si>
    <t>Combustibili</t>
  </si>
  <si>
    <t>Elettricità</t>
  </si>
  <si>
    <t>Altre spese stalla</t>
  </si>
  <si>
    <t>Ammortamento impianti</t>
  </si>
  <si>
    <t xml:space="preserve"> - di cui macchine</t>
  </si>
  <si>
    <t xml:space="preserve"> - di cui impianti</t>
  </si>
  <si>
    <t>tutto allevamento</t>
  </si>
  <si>
    <t>Manutenzione impianti</t>
  </si>
  <si>
    <t>Reimpiego foraggi</t>
  </si>
  <si>
    <t>Valore del latte prodotto</t>
  </si>
  <si>
    <t>Valore della carne (ULS)</t>
  </si>
  <si>
    <t>Valore del letame</t>
  </si>
  <si>
    <t>per litro</t>
  </si>
  <si>
    <t>Criterio</t>
  </si>
  <si>
    <t>Margini lordi dei processi produttivi - Azienda 4278</t>
  </si>
  <si>
    <t>Onere</t>
  </si>
  <si>
    <t>Importo</t>
  </si>
  <si>
    <t>00</t>
  </si>
  <si>
    <t>AMMORTAMENTI ATTREZZATURE STALLA</t>
  </si>
  <si>
    <t>Anno</t>
  </si>
  <si>
    <t>Indice M.</t>
  </si>
  <si>
    <t>Indice C.</t>
  </si>
  <si>
    <t>Scadenza</t>
  </si>
  <si>
    <t>Q Cap</t>
  </si>
  <si>
    <t>Q int</t>
  </si>
  <si>
    <t>Deb res</t>
  </si>
  <si>
    <t>Anni</t>
  </si>
  <si>
    <t>Tasso</t>
  </si>
  <si>
    <t>Mutuo stalla</t>
  </si>
  <si>
    <t>Totale inventari</t>
  </si>
  <si>
    <t>Nascite - vendite</t>
  </si>
  <si>
    <t>Totale</t>
  </si>
  <si>
    <t>Utilizzo UREA Loiessa 2001</t>
  </si>
  <si>
    <t>Utilizzo KCL Prato</t>
  </si>
  <si>
    <t>Utilizzo KCL Medica</t>
  </si>
  <si>
    <t>Consumi anno 2000</t>
  </si>
  <si>
    <t>Semina Loiessa 2001</t>
  </si>
  <si>
    <t>Utilizzo mangimi div. e integratori</t>
  </si>
  <si>
    <t>Inv.finale mangimi div.e integratori</t>
  </si>
  <si>
    <t>Produzione 2000</t>
  </si>
  <si>
    <t>Vendite 2000</t>
  </si>
  <si>
    <t>Mangimi</t>
  </si>
  <si>
    <t>Foraggi</t>
  </si>
  <si>
    <t>Lettimi</t>
  </si>
  <si>
    <t>Sanitarie</t>
  </si>
  <si>
    <t>Altre</t>
  </si>
  <si>
    <t>Reimp.foraggi</t>
  </si>
  <si>
    <t>Reimp.lettimi</t>
  </si>
  <si>
    <t>Reimp.latte</t>
  </si>
  <si>
    <t>Mat. Mungitura</t>
  </si>
  <si>
    <t>Paglia acquistata</t>
  </si>
  <si>
    <t>Lubrificanti</t>
  </si>
  <si>
    <t>Carburanti</t>
  </si>
  <si>
    <t>Manutenzione</t>
  </si>
  <si>
    <t>Diverse</t>
  </si>
  <si>
    <t>Sementi 2001</t>
  </si>
  <si>
    <t>Concimi 2001</t>
  </si>
  <si>
    <t>Diserbanti 2001</t>
  </si>
  <si>
    <t>Sementi AC 99</t>
  </si>
  <si>
    <t>Concimi KCL</t>
  </si>
  <si>
    <t>Concimi Urea</t>
  </si>
  <si>
    <t>Interessi su cap.macchine</t>
  </si>
  <si>
    <t>Interessi su cap.anticipazione</t>
  </si>
  <si>
    <t>Interessi su attr.stalla</t>
  </si>
  <si>
    <t>Cap. anticipazione</t>
  </si>
  <si>
    <t>Totale spese</t>
  </si>
  <si>
    <t>Totale utilizzi</t>
  </si>
  <si>
    <t>Stalla</t>
  </si>
  <si>
    <t>Fieno prato stabile</t>
  </si>
  <si>
    <t>Campagna</t>
  </si>
  <si>
    <t>Generali</t>
  </si>
  <si>
    <t>Interessi su cap.bestiame</t>
  </si>
  <si>
    <t>Interessi cap.macchine</t>
  </si>
  <si>
    <t>Interessi cap.anticipazione</t>
  </si>
  <si>
    <t>ANALISI DEL PUNTO DI PARITA' (BREAK-EVEN ANALYSIS)</t>
  </si>
  <si>
    <t>Produzione</t>
  </si>
  <si>
    <t>Ricavo totale</t>
  </si>
  <si>
    <t>Costi fissi</t>
  </si>
  <si>
    <t>Costi variabili unitari</t>
  </si>
  <si>
    <t>Costi variabili totali</t>
  </si>
  <si>
    <t>Costi totali</t>
  </si>
  <si>
    <t xml:space="preserve">QE= </t>
  </si>
  <si>
    <t>CF / (Ricavo unitario-costo variabile)</t>
  </si>
  <si>
    <t>A) VALORE DELLA PRODUZIONE</t>
  </si>
  <si>
    <t>1)   Ricavi delle vendite e delle prestazioni</t>
  </si>
  <si>
    <t>a) Vendite produzioni vegetali</t>
  </si>
  <si>
    <t>Prodotti vegetali</t>
  </si>
  <si>
    <t>b) Vendite produzioni zootecniche</t>
  </si>
  <si>
    <t>Latte venduto</t>
  </si>
  <si>
    <t>Carne venduta</t>
  </si>
  <si>
    <t>c) Prestazione di servizi</t>
  </si>
  <si>
    <t>Finali</t>
  </si>
  <si>
    <t>Iniziali</t>
  </si>
  <si>
    <t>2)   Variazioni delle rimanenze di prodotti</t>
  </si>
  <si>
    <t>a) Var. rimanenze prodotti vegetali</t>
  </si>
  <si>
    <t>Fieno di medica</t>
  </si>
  <si>
    <t>Fieno di prato avvicendato</t>
  </si>
  <si>
    <t>Trinciato di mais</t>
  </si>
  <si>
    <t>Triticale</t>
  </si>
  <si>
    <t>b) Var. rimanenze prodotti zootecnici</t>
  </si>
  <si>
    <t>Scorte vive - bestiame</t>
  </si>
  <si>
    <t xml:space="preserve">Latte </t>
  </si>
  <si>
    <t>3)   Variazione lavori in corso su ordinazione</t>
  </si>
  <si>
    <t>d) Anticipazioni colturali</t>
  </si>
  <si>
    <t>4)   Incrementi di immobilizzazioni per lavori interni</t>
  </si>
  <si>
    <t>a) Incrementi immobilizzazioni immateriali</t>
  </si>
  <si>
    <t>b) Incrementi immobilizzazioni materiali</t>
  </si>
  <si>
    <t>5)   Altri ricavi e proventi</t>
  </si>
  <si>
    <t>B) COSTI DELLA PRODUZIONE</t>
  </si>
  <si>
    <t>6)   Materie prime, sussidiarie, di consumo e merci</t>
  </si>
  <si>
    <t>a) Acquisti per le produzioni vegetali</t>
  </si>
  <si>
    <t>Varie</t>
  </si>
  <si>
    <t>b) Acquisti per le produzioni zootecniche</t>
  </si>
  <si>
    <t>Alimenti bestiame</t>
  </si>
  <si>
    <t xml:space="preserve">    Mangimi diversi</t>
  </si>
  <si>
    <t xml:space="preserve">    Fieno</t>
  </si>
  <si>
    <t xml:space="preserve">    Latte vitelli</t>
  </si>
  <si>
    <t xml:space="preserve">    Mangime vitelli</t>
  </si>
  <si>
    <t xml:space="preserve">    Mangime finito vacche</t>
  </si>
  <si>
    <t xml:space="preserve">    Mangime rimonta</t>
  </si>
  <si>
    <t>Lettiera</t>
  </si>
  <si>
    <t>Medicinali e FA</t>
  </si>
  <si>
    <t>Energia</t>
  </si>
  <si>
    <t>Varie stalla</t>
  </si>
  <si>
    <t>c) Acquisti beni vari</t>
  </si>
  <si>
    <t>7)   Servizi</t>
  </si>
  <si>
    <t>a) Servizi per la produzione</t>
  </si>
  <si>
    <t>Servizi campagna</t>
  </si>
  <si>
    <t>Servizi stalla</t>
  </si>
  <si>
    <t xml:space="preserve">    Veterinario</t>
  </si>
  <si>
    <t>b) Servizi commerciali</t>
  </si>
  <si>
    <t>c) Servizi amministrativi e generali</t>
  </si>
  <si>
    <t>Trasporti</t>
  </si>
  <si>
    <t xml:space="preserve">   Oneri fondiari</t>
  </si>
  <si>
    <t xml:space="preserve">   Diverse</t>
  </si>
  <si>
    <t>d) Manutenzioni e riparazioni</t>
  </si>
  <si>
    <t>Macchine e attrezzi</t>
  </si>
  <si>
    <t>Fondiarie</t>
  </si>
  <si>
    <t>Impianti</t>
  </si>
  <si>
    <t>8)   Godimento di beni di terzi</t>
  </si>
  <si>
    <t>a) Locazioni ed affitti passivi</t>
  </si>
  <si>
    <t>b) Beneficio fondiario (terreni propri)</t>
  </si>
  <si>
    <t>9)   Lavoro</t>
  </si>
  <si>
    <t>a) Personale dipendente</t>
  </si>
  <si>
    <t>Anzianità e contributi fissi</t>
  </si>
  <si>
    <t>Stipendi fissi</t>
  </si>
  <si>
    <t>Stipendi avventizi</t>
  </si>
  <si>
    <t>b) Imprenditore e familiari</t>
  </si>
  <si>
    <t>Contributi previdenziali</t>
  </si>
  <si>
    <t>10) Ammortamenti e svalutazioni</t>
  </si>
  <si>
    <t>a) Amm. immobilizzazioni immateriali</t>
  </si>
  <si>
    <t>b) Amm. immobilizzazioni materiali</t>
  </si>
  <si>
    <t>Amm. Fabbricati</t>
  </si>
  <si>
    <t>Amm. macchine e attrezzi</t>
  </si>
  <si>
    <t>c) Altre svalutazioni delle immobilizzazioni</t>
  </si>
  <si>
    <t>d) Svalutazione di crediti e liquidità</t>
  </si>
  <si>
    <t>11) Variazione delle rimanenze delle materie prime</t>
  </si>
  <si>
    <t>c) Var. rimanenze mezzi tecnici campagna</t>
  </si>
  <si>
    <t>Vari</t>
  </si>
  <si>
    <t>d) Var. rimanenze mezzi tecnici stalla</t>
  </si>
  <si>
    <t>e) Var. rimanenze mezzi tecnici congiunti</t>
  </si>
  <si>
    <t>12) Accantonamenti per rischi</t>
  </si>
  <si>
    <t>13) Altri accantomenti</t>
  </si>
  <si>
    <t>14) Oneri diversi di gestione</t>
  </si>
  <si>
    <t>DIFFERENZA TRA VALORE E COSTI DELLA PRODUZIONE</t>
  </si>
  <si>
    <t>C) PROVENTI E ONERI FINANZIARI</t>
  </si>
  <si>
    <t>15) Proventi da partecipazioni</t>
  </si>
  <si>
    <t>16) Altri proventi finanziari</t>
  </si>
  <si>
    <t>a) da crediti iscritti nelle immobilizzazioni</t>
  </si>
  <si>
    <t>b) da titoli iscritti nelle immobilizzazioni</t>
  </si>
  <si>
    <t>c) da titoli iscritti nell'attivo circolante</t>
  </si>
  <si>
    <t>d) Proventi diversi dai precedenti</t>
  </si>
  <si>
    <t>17) Interessi ed altri oneri finanziari</t>
  </si>
  <si>
    <t>D) RETTIFICHE DI VALORE DI ATTIVITA' FINANZIARIE</t>
  </si>
  <si>
    <t>18) Rivalutazioni</t>
  </si>
  <si>
    <t>a) di Partecipazioni</t>
  </si>
  <si>
    <t>b) di Immobilizzazioni finanziarie</t>
  </si>
  <si>
    <t>c) di Titoli iscritti nell'attivo circolante</t>
  </si>
  <si>
    <t>19) Svalutazioni</t>
  </si>
  <si>
    <t>E) PROVENTI E ONERI STRAORDINARI</t>
  </si>
  <si>
    <t>20) Proventi, (plusvalenze da alienazioni)</t>
  </si>
  <si>
    <t>Vendite macchine</t>
  </si>
  <si>
    <t>Contributi straordinari</t>
  </si>
  <si>
    <t>21) Oneri, (minusvalenze da alienazioni)</t>
  </si>
  <si>
    <t>RISULTATO PRIMA DELLE IMPOSTE</t>
  </si>
  <si>
    <t>Determinazione dei redditi dal bilancio di esercizio</t>
  </si>
  <si>
    <t>(1)</t>
  </si>
  <si>
    <t>Valore della produzione</t>
  </si>
  <si>
    <t>Costi variabili</t>
  </si>
  <si>
    <t>(2)</t>
  </si>
  <si>
    <t>Valore aggiunto</t>
  </si>
  <si>
    <t>Costo del lavoro</t>
  </si>
  <si>
    <t>(3)</t>
  </si>
  <si>
    <t>Margine operativo lordo</t>
  </si>
  <si>
    <t>Oneri industriali: ammortamenti</t>
  </si>
  <si>
    <t>(4)</t>
  </si>
  <si>
    <r>
      <t xml:space="preserve">Reddito lordo industriale </t>
    </r>
    <r>
      <rPr>
        <b/>
        <sz val="10"/>
        <color indexed="8"/>
        <rFont val="Arial"/>
        <family val="2"/>
      </rPr>
      <t>(Margine operativo netto)</t>
    </r>
  </si>
  <si>
    <t>(5)</t>
  </si>
  <si>
    <t>Costi generali</t>
  </si>
  <si>
    <t xml:space="preserve"> Servizi amministrativi e generali</t>
  </si>
  <si>
    <t xml:space="preserve"> Manutenzioni e riparazioni</t>
  </si>
  <si>
    <t xml:space="preserve"> Locazioni ed affitti passivi</t>
  </si>
  <si>
    <t>(6)</t>
  </si>
  <si>
    <t>Reddito operativo lordo gestione caratteristica</t>
  </si>
  <si>
    <t>Risultato gestione finanziaria</t>
  </si>
  <si>
    <t>(7)</t>
  </si>
  <si>
    <t>Reddito di esercizio al lordo delle imposte</t>
  </si>
  <si>
    <t>(8)</t>
  </si>
  <si>
    <t>Reddito netto d'esercizio</t>
  </si>
  <si>
    <t>Identificazione dei costi dal bilancio di esercizio</t>
  </si>
  <si>
    <t>Margine di contribuzione</t>
  </si>
  <si>
    <t>ATTIVO</t>
  </si>
  <si>
    <t>PASSIVO</t>
  </si>
  <si>
    <t>Attivo circolante</t>
  </si>
  <si>
    <t>Debiti a breve termine : esigibilità</t>
  </si>
  <si>
    <t>Liquidità: cassa e c/c bancari attivi</t>
  </si>
  <si>
    <t>Crediti a breve termine</t>
  </si>
  <si>
    <t>Magazzino</t>
  </si>
  <si>
    <t>Debiti a lungo termine : redimibilità</t>
  </si>
  <si>
    <t>Mutui per terreni</t>
  </si>
  <si>
    <t>Attivo fisso - immobilizzazioni</t>
  </si>
  <si>
    <t>Mutui per fabbricati</t>
  </si>
  <si>
    <t>Terreni</t>
  </si>
  <si>
    <t>Mutui per attrezzature</t>
  </si>
  <si>
    <t>Fabbricati</t>
  </si>
  <si>
    <t>Fondo di ammortamento fabbricati</t>
  </si>
  <si>
    <t>Fondo quiescenza salariati</t>
  </si>
  <si>
    <t>Impianti e macchine</t>
  </si>
  <si>
    <t>Fondo di ammortamento macchine</t>
  </si>
  <si>
    <t>Capitale netto aziendale</t>
  </si>
  <si>
    <t>Bestiame</t>
  </si>
  <si>
    <t>Capitale netto iniziale</t>
  </si>
  <si>
    <t>Partecipazioni finanziarie</t>
  </si>
  <si>
    <t>Utile/perdita d'esercizio</t>
  </si>
  <si>
    <t>Attivo totale - IMPIEGHI</t>
  </si>
  <si>
    <t>Passivo totale - FONTI</t>
  </si>
  <si>
    <t>INDICI SITUAZIONE FINANZIARIA</t>
  </si>
  <si>
    <t>Liquidità immediata (Liquidità/Esigibilità)</t>
  </si>
  <si>
    <t>Liquidità corrente (Attività correnti /Esigibilità)</t>
  </si>
  <si>
    <t>Immobilizzo debiti l.t. (Redimibilità/Immobilizzazioni)</t>
  </si>
  <si>
    <t>Immobilizzo cap.netto (Cap.netto/Immobilizzazioni)</t>
  </si>
  <si>
    <t>Immobilizzo cap.esterni (Contributi/Immobilizzaz.)</t>
  </si>
  <si>
    <t>INDICI DI RENDIMENTO</t>
  </si>
  <si>
    <t>ROE (Reddito netto/Capitale netto)</t>
  </si>
  <si>
    <t>ROI (Reddito operativo/Capitale investito)</t>
  </si>
  <si>
    <t>ROD (Interessi passivi/finanziamento passivo)</t>
  </si>
  <si>
    <t>ROS (Reddito operativo / Fatturato)</t>
  </si>
  <si>
    <t>Parziali</t>
  </si>
  <si>
    <t>Carne (ULS)</t>
  </si>
  <si>
    <t>Altri ricavi</t>
  </si>
  <si>
    <t>Plv</t>
  </si>
  <si>
    <t xml:space="preserve">          RICAVI TOTALI</t>
  </si>
  <si>
    <t>Diserbanti e antiparassitari</t>
  </si>
  <si>
    <t>Altre spese campagna</t>
  </si>
  <si>
    <t>Noleggi passivi</t>
  </si>
  <si>
    <t>Spese diverse stalla</t>
  </si>
  <si>
    <t>Sv</t>
  </si>
  <si>
    <t xml:space="preserve">   Spese varie</t>
  </si>
  <si>
    <t>Quote ammortamento fabbricati</t>
  </si>
  <si>
    <t>Quote ammortamento macchine</t>
  </si>
  <si>
    <t>Quote manutenzione fabbricati</t>
  </si>
  <si>
    <t>Quote manutenzione macchine</t>
  </si>
  <si>
    <t>Quote di assicurazione</t>
  </si>
  <si>
    <t>Q</t>
  </si>
  <si>
    <t xml:space="preserve">  Quote</t>
  </si>
  <si>
    <t>IVA</t>
  </si>
  <si>
    <t>IRAP</t>
  </si>
  <si>
    <t>Tr</t>
  </si>
  <si>
    <t xml:space="preserve">  Imposte</t>
  </si>
  <si>
    <t>Co=Sv+Q+Tr</t>
  </si>
  <si>
    <t xml:space="preserve">          COSTI OGGETTIVI</t>
  </si>
  <si>
    <t>Pna=Plv-Co</t>
  </si>
  <si>
    <t xml:space="preserve">                PRODOTTO NETTO AZIENDALE</t>
  </si>
  <si>
    <t>Salari dipendenti fissi</t>
  </si>
  <si>
    <t>Salari dipendenti avventizi</t>
  </si>
  <si>
    <t>Contributi sociali dipendenti</t>
  </si>
  <si>
    <t>Salari calcolati manodopera familiare</t>
  </si>
  <si>
    <t>Contributi sociali familiari</t>
  </si>
  <si>
    <t>Sa</t>
  </si>
  <si>
    <t>Salari</t>
  </si>
  <si>
    <t>St</t>
  </si>
  <si>
    <t>Stipendi</t>
  </si>
  <si>
    <t>Interessi pagati cap.fondiario</t>
  </si>
  <si>
    <t>Interessi pagati cap.agrario</t>
  </si>
  <si>
    <t>Interessi calcolati cap.agrario</t>
  </si>
  <si>
    <t>I</t>
  </si>
  <si>
    <t>Interessi</t>
  </si>
  <si>
    <t>Valore d'uso terreni propri</t>
  </si>
  <si>
    <t>Bf</t>
  </si>
  <si>
    <t>Beneficio Fondiario</t>
  </si>
  <si>
    <t>CR=Sa+St+I+Bf</t>
  </si>
  <si>
    <t xml:space="preserve">          COSTI REDDITO</t>
  </si>
  <si>
    <t xml:space="preserve">   CRe</t>
  </si>
  <si>
    <t xml:space="preserve">             di cui monetari (espliciti)</t>
  </si>
  <si>
    <t xml:space="preserve">   CRi</t>
  </si>
  <si>
    <t xml:space="preserve">             di cui calcolati (impliciti)</t>
  </si>
  <si>
    <t>RN=PN-CRe</t>
  </si>
  <si>
    <t xml:space="preserve">                  REDDITO NETTO IMPRENDITORE</t>
  </si>
  <si>
    <t>RL=PN-I-Bf</t>
  </si>
  <si>
    <t xml:space="preserve">                  REDDITO DI LAVORO</t>
  </si>
  <si>
    <t>RLF=PN-I-Bf-Sad</t>
  </si>
  <si>
    <t xml:space="preserve">                  REDDITO DI LAVORO FAMILIARE</t>
  </si>
  <si>
    <t>T=Plv-CO-CR</t>
  </si>
  <si>
    <t xml:space="preserve">                  PROFITTO O PERDITA</t>
  </si>
  <si>
    <t>CT=CO+CR</t>
  </si>
  <si>
    <t xml:space="preserve">          COSTI TOTALI</t>
  </si>
  <si>
    <t>CE=CO+CRe</t>
  </si>
  <si>
    <t>Costi monetari espliciti</t>
  </si>
  <si>
    <t>CI=CRi</t>
  </si>
  <si>
    <t>Costi impliciti calcolati</t>
  </si>
  <si>
    <t>RICAVI</t>
  </si>
  <si>
    <t>Tonnellate</t>
  </si>
  <si>
    <t>Tonn. Latte equivalente</t>
  </si>
  <si>
    <t>%</t>
  </si>
  <si>
    <t xml:space="preserve">   TOTALE RICAVI</t>
  </si>
  <si>
    <t>Fonte: Nostre elaborazioni su dati RICA-INEA</t>
  </si>
  <si>
    <t>COSTI</t>
  </si>
  <si>
    <t xml:space="preserve">     Mangimi acquistati</t>
  </si>
  <si>
    <t xml:space="preserve">     Foraggi e lettimi acquistati</t>
  </si>
  <si>
    <t xml:space="preserve">         ALIMENTI ACQUISTATI</t>
  </si>
  <si>
    <t>Fertilizzanti</t>
  </si>
  <si>
    <t>Antiparassitari</t>
  </si>
  <si>
    <t xml:space="preserve">     Spese colturali</t>
  </si>
  <si>
    <t xml:space="preserve">     Spese meccanizzazione</t>
  </si>
  <si>
    <t xml:space="preserve">     Variazione inventario alimenti</t>
  </si>
  <si>
    <t xml:space="preserve">         COSTO ALIMENTI PRODOTTI</t>
  </si>
  <si>
    <t xml:space="preserve">         SPESE VARIE ALLEVAMENTO</t>
  </si>
  <si>
    <t>Manutenzione fondiaria</t>
  </si>
  <si>
    <t>Assicurazioni fondiarie</t>
  </si>
  <si>
    <t xml:space="preserve">     Spese generali e fondiarie</t>
  </si>
  <si>
    <t xml:space="preserve">     Affitti</t>
  </si>
  <si>
    <t xml:space="preserve">         SPESE GENERALI</t>
  </si>
  <si>
    <t xml:space="preserve">     Quote ammortamento fabbricati</t>
  </si>
  <si>
    <t xml:space="preserve">     Quote ammortamento macchine</t>
  </si>
  <si>
    <t xml:space="preserve">         QUOTE D'AMMORTAMENTO</t>
  </si>
  <si>
    <t>1 Familiare specializzato</t>
  </si>
  <si>
    <t>1 Familiare qualificato</t>
  </si>
  <si>
    <t>Manodopera familiare</t>
  </si>
  <si>
    <t>Oneri sociali familiari</t>
  </si>
  <si>
    <t>Lavoro salariato</t>
  </si>
  <si>
    <t>Oneri sociali salariati</t>
  </si>
  <si>
    <t xml:space="preserve">         COSTO DEL LAVORO</t>
  </si>
  <si>
    <t>Interessi calcolati cap.fondiario</t>
  </si>
  <si>
    <t xml:space="preserve">          INTERESSI</t>
  </si>
  <si>
    <t>SUPERFICI E MANODOPERA</t>
  </si>
  <si>
    <t>CARATTERISTICHE ALLEVAMENTO</t>
  </si>
  <si>
    <t>SAU (ettari)</t>
  </si>
  <si>
    <t>UBA allevamento bovino</t>
  </si>
  <si>
    <t xml:space="preserve"> - affitto</t>
  </si>
  <si>
    <t>Vacche da latte (n°)</t>
  </si>
  <si>
    <t xml:space="preserve"> - proprietà</t>
  </si>
  <si>
    <t>Latte (t/anno)</t>
  </si>
  <si>
    <t>UL totali</t>
  </si>
  <si>
    <t>Resa (kg/vacca/anno)</t>
  </si>
  <si>
    <t>Ore di lavoro</t>
  </si>
  <si>
    <t>INDICATORI TECNICI</t>
  </si>
  <si>
    <t>FORAGGERE</t>
  </si>
  <si>
    <t>Resa t/ha</t>
  </si>
  <si>
    <t>% UFL prodotte</t>
  </si>
  <si>
    <t>UFL / UBA</t>
  </si>
  <si>
    <t>Erba medica</t>
  </si>
  <si>
    <t>UFL prodotte / ha foraggere</t>
  </si>
  <si>
    <t>Prati avv.</t>
  </si>
  <si>
    <t>UBA / ettaro foraggere</t>
  </si>
  <si>
    <t>Loietto 2°</t>
  </si>
  <si>
    <t>Vacche / ha foraggere</t>
  </si>
  <si>
    <t>SAU foraggera</t>
  </si>
  <si>
    <t>Latte / ettaro foraggere (t)</t>
  </si>
  <si>
    <t>UFL prodotte</t>
  </si>
  <si>
    <t>Ore lavoro / ettaro</t>
  </si>
  <si>
    <t>UFL acquistate</t>
  </si>
  <si>
    <t>Ore lavoro / vacca</t>
  </si>
  <si>
    <t>UFL totali</t>
  </si>
  <si>
    <t>Ore lavoro / tonn. latte</t>
  </si>
  <si>
    <t>Caratteristiche strutturali e tecniche dell'azienda 4278</t>
  </si>
  <si>
    <t>Foraggi e lettimi</t>
  </si>
  <si>
    <t>Importo (euro)</t>
  </si>
  <si>
    <t xml:space="preserve">   (2480 ore x 7,72 euro)</t>
  </si>
  <si>
    <t xml:space="preserve">   (2420 ore x 6,48 euro)</t>
  </si>
  <si>
    <t xml:space="preserve">   Energia</t>
  </si>
  <si>
    <t>BILANCIO ECONOMICO AGRARIO DELL'AZIENDA 4278 (valori in Euro)</t>
  </si>
  <si>
    <t>Calcolo del latte equivalente nell'azienda 4278</t>
  </si>
  <si>
    <t>Calcolo del costo di produzione del latte nell'azienda 4278</t>
  </si>
  <si>
    <t>Proprietà</t>
  </si>
  <si>
    <t>Affitto</t>
  </si>
  <si>
    <t>quote macchine</t>
  </si>
  <si>
    <t>quota 2000 nuove</t>
  </si>
  <si>
    <t>quota 2000 totale</t>
  </si>
  <si>
    <t>fondo amm macchine</t>
  </si>
  <si>
    <t>fondo amm 2000</t>
  </si>
  <si>
    <t>fondo amm totale</t>
  </si>
  <si>
    <t>Stato patrimoniale</t>
  </si>
  <si>
    <t>Conto economico (profitti e perdite)</t>
  </si>
  <si>
    <t>Produzione (tonnellate)</t>
  </si>
  <si>
    <t>Ricavo unitario (€/tonn)</t>
  </si>
  <si>
    <t>STALLA A</t>
  </si>
  <si>
    <t>STALLA B</t>
  </si>
  <si>
    <t>STALLA C</t>
  </si>
  <si>
    <t>VASCA EST C * LIQUAMI</t>
  </si>
  <si>
    <t>VASCA EST A * LIQUAMI</t>
  </si>
  <si>
    <t>VASCA EST B * LIQUAMI</t>
  </si>
  <si>
    <t>VENDITE VITELLONI</t>
  </si>
  <si>
    <t>Debiti verso fornitori</t>
  </si>
  <si>
    <t>Imposte</t>
  </si>
  <si>
    <t>Imposte sulla produzione</t>
  </si>
  <si>
    <t>Contributi e imposte fondiarie</t>
  </si>
  <si>
    <t>CV=SV+Ica+Tr(prod)</t>
  </si>
  <si>
    <t>CF=Q+Tr(fond)+Sa+St+lcf+Bf</t>
  </si>
  <si>
    <t>COSTI FISSI</t>
  </si>
  <si>
    <t>COSTI VARIABILI</t>
  </si>
  <si>
    <t>Totali (euro)</t>
  </si>
  <si>
    <t>€ / tonn</t>
  </si>
  <si>
    <t>Euro/tonn</t>
  </si>
  <si>
    <t xml:space="preserve"> 149.177 / (369,66-210,90)</t>
  </si>
  <si>
    <t>Diserbo loiessa 2001</t>
  </si>
  <si>
    <t>ULS</t>
  </si>
  <si>
    <t>CONSUNTIVO 2000</t>
  </si>
  <si>
    <t>PREVENTIVO 2001</t>
  </si>
  <si>
    <t>Var%</t>
  </si>
  <si>
    <t>BUDGET 1 TRIMESTRE</t>
  </si>
  <si>
    <t>% trim</t>
  </si>
  <si>
    <t>EFFETTIVO 1 TRIMESTRE</t>
  </si>
  <si>
    <t>SCOSTAMENTI</t>
  </si>
  <si>
    <t>AVANZO DI GESTIONE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</si>
</sst>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0"/>
    <numFmt numFmtId="173" formatCode="0.0%"/>
    <numFmt numFmtId="174" formatCode="0.0000000"/>
    <numFmt numFmtId="175" formatCode="0.000000"/>
    <numFmt numFmtId="176" formatCode="0.00000"/>
    <numFmt numFmtId="177" formatCode="_-* #,##0.0_-;\-* #,##0.0_-;_-* &quot;-&quot;_-;_-@_-"/>
    <numFmt numFmtId="178" formatCode="_-* #,##0.00_-;\-* #,##0.00_-;_-* &quot;-&quot;_-;_-@_-"/>
    <numFmt numFmtId="179" formatCode="_-* #,##0.000_-;\-* #,##0.000_-;_-* &quot;-&quot;_-;_-@_-"/>
    <numFmt numFmtId="180" formatCode="_-* #,##0.0000_-;\-* #,##0.0000_-;_-* &quot;-&quot;_-;_-@_-"/>
    <numFmt numFmtId="181" formatCode="#,##0\ &quot;FB&quot;;\-#,##0\ &quot;FB&quot;"/>
    <numFmt numFmtId="182" formatCode="#,##0\ &quot;FB&quot;;[Red]\-#,##0\ &quot;FB&quot;"/>
    <numFmt numFmtId="183" formatCode="#,##0.00\ &quot;FB&quot;;\-#,##0.00\ &quot;FB&quot;"/>
    <numFmt numFmtId="184" formatCode="#,##0.00\ &quot;FB&quot;;[Red]\-#,##0.00\ &quot;FB&quot;"/>
    <numFmt numFmtId="185" formatCode="_-* #,##0\ &quot;FB&quot;_-;\-* #,##0\ &quot;FB&quot;_-;_-* &quot;-&quot;\ &quot;FB&quot;_-;_-@_-"/>
    <numFmt numFmtId="186" formatCode="_-* #,##0\ _F_B_-;\-* #,##0\ _F_B_-;_-* &quot;-&quot;\ _F_B_-;_-@_-"/>
    <numFmt numFmtId="187" formatCode="_-* #,##0.00\ &quot;FB&quot;_-;\-* #,##0.00\ &quot;FB&quot;_-;_-* &quot;-&quot;??\ &quot;FB&quot;_-;_-@_-"/>
    <numFmt numFmtId="188" formatCode="_-* #,##0.00\ _F_B_-;\-* #,##0.00\ _F_B_-;_-* &quot;-&quot;??\ _F_B_-;_-@_-"/>
    <numFmt numFmtId="189" formatCode="_-* #,##0.0\ _F_B_-;\-* #,##0.0\ _F_B_-;_-* &quot;-&quot;??\ _F_B_-;_-@_-"/>
    <numFmt numFmtId="190" formatCode="#,##0_ ;\-#,##0\ "/>
    <numFmt numFmtId="191" formatCode="d/m"/>
    <numFmt numFmtId="192" formatCode="#,##0.0_ ;\-#,##0.0\ "/>
    <numFmt numFmtId="193" formatCode="#,##0.00_ ;\-#,##0.00\ "/>
    <numFmt numFmtId="194" formatCode="#,##0.0"/>
    <numFmt numFmtId="195" formatCode="#,##0.00\ "/>
    <numFmt numFmtId="196" formatCode="[$-410]dddd\ d\ mmmm\ yyyy"/>
    <numFmt numFmtId="197" formatCode="dd/mm/yy;@"/>
    <numFmt numFmtId="198" formatCode="h\.mm\.ss"/>
    <numFmt numFmtId="199" formatCode="#,##0.000_ ;\-#,##0.000\ "/>
    <numFmt numFmtId="200" formatCode="#,##0.0000_ ;\-#,##0.0000\ "/>
    <numFmt numFmtId="201" formatCode="#,##0.00000_ ;\-#,##0.00000\ "/>
  </numFmts>
  <fonts count="18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sz val="12"/>
      <color indexed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lightGray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1" fontId="0" fillId="0" borderId="0" xfId="0" applyNumberForma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173" fontId="0" fillId="0" borderId="0" xfId="19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/>
    </xf>
    <xf numFmtId="1" fontId="0" fillId="0" borderId="2" xfId="0" applyNumberFormat="1" applyBorder="1" applyAlignment="1">
      <alignment/>
    </xf>
    <xf numFmtId="2" fontId="0" fillId="0" borderId="1" xfId="0" applyNumberFormat="1" applyBorder="1" applyAlignment="1">
      <alignment/>
    </xf>
    <xf numFmtId="171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78" fontId="1" fillId="0" borderId="0" xfId="17" applyNumberFormat="1" applyFont="1" applyAlignment="1">
      <alignment/>
    </xf>
    <xf numFmtId="41" fontId="1" fillId="0" borderId="0" xfId="17" applyFont="1" applyAlignment="1">
      <alignment/>
    </xf>
    <xf numFmtId="41" fontId="1" fillId="0" borderId="0" xfId="0" applyNumberFormat="1" applyFont="1" applyAlignment="1">
      <alignment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73" fontId="1" fillId="0" borderId="0" xfId="19" applyNumberFormat="1" applyFont="1" applyAlignment="1">
      <alignment/>
    </xf>
    <xf numFmtId="9" fontId="1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9" fontId="3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9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0" fontId="3" fillId="0" borderId="5" xfId="0" applyFont="1" applyBorder="1" applyAlignment="1">
      <alignment/>
    </xf>
    <xf numFmtId="178" fontId="1" fillId="0" borderId="0" xfId="17" applyNumberFormat="1" applyFont="1" applyAlignment="1">
      <alignment horizontal="right"/>
    </xf>
    <xf numFmtId="43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left" indent="1"/>
    </xf>
    <xf numFmtId="1" fontId="4" fillId="0" borderId="0" xfId="0" applyNumberFormat="1" applyFont="1" applyAlignment="1" quotePrefix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 quotePrefix="1">
      <alignment/>
    </xf>
    <xf numFmtId="172" fontId="0" fillId="0" borderId="0" xfId="0" applyNumberFormat="1" applyFont="1" applyAlignment="1">
      <alignment/>
    </xf>
    <xf numFmtId="9" fontId="0" fillId="0" borderId="0" xfId="19" applyFont="1" applyAlignment="1">
      <alignment/>
    </xf>
    <xf numFmtId="9" fontId="0" fillId="0" borderId="0" xfId="19" applyNumberFormat="1" applyFont="1" applyAlignment="1">
      <alignment/>
    </xf>
    <xf numFmtId="173" fontId="0" fillId="0" borderId="0" xfId="19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2" fontId="0" fillId="0" borderId="0" xfId="0" applyNumberFormat="1" applyFont="1" applyAlignment="1">
      <alignment/>
    </xf>
    <xf numFmtId="41" fontId="0" fillId="0" borderId="0" xfId="17" applyFont="1" applyAlignment="1">
      <alignment/>
    </xf>
    <xf numFmtId="14" fontId="0" fillId="0" borderId="0" xfId="0" applyNumberFormat="1" applyFont="1" applyAlignment="1">
      <alignment/>
    </xf>
    <xf numFmtId="41" fontId="0" fillId="0" borderId="0" xfId="17" applyAlignment="1">
      <alignment/>
    </xf>
    <xf numFmtId="17" fontId="0" fillId="0" borderId="0" xfId="0" applyNumberFormat="1" applyAlignment="1">
      <alignment horizontal="center"/>
    </xf>
    <xf numFmtId="1" fontId="0" fillId="0" borderId="0" xfId="0" applyNumberFormat="1" applyAlignment="1" quotePrefix="1">
      <alignment/>
    </xf>
    <xf numFmtId="1" fontId="0" fillId="0" borderId="5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7" xfId="0" applyNumberFormat="1" applyBorder="1" applyAlignment="1">
      <alignment/>
    </xf>
    <xf numFmtId="178" fontId="2" fillId="0" borderId="0" xfId="17" applyNumberFormat="1" applyFont="1" applyAlignment="1">
      <alignment/>
    </xf>
    <xf numFmtId="178" fontId="3" fillId="0" borderId="1" xfId="0" applyNumberFormat="1" applyFont="1" applyBorder="1" applyAlignment="1">
      <alignment/>
    </xf>
    <xf numFmtId="178" fontId="2" fillId="0" borderId="0" xfId="0" applyNumberFormat="1" applyFont="1" applyAlignment="1">
      <alignment/>
    </xf>
    <xf numFmtId="178" fontId="1" fillId="0" borderId="0" xfId="0" applyNumberFormat="1" applyFont="1" applyBorder="1" applyAlignment="1">
      <alignment/>
    </xf>
    <xf numFmtId="178" fontId="2" fillId="0" borderId="0" xfId="17" applyNumberFormat="1" applyFont="1" applyAlignment="1">
      <alignment horizontal="right"/>
    </xf>
    <xf numFmtId="178" fontId="3" fillId="0" borderId="5" xfId="0" applyNumberFormat="1" applyFont="1" applyBorder="1" applyAlignment="1">
      <alignment/>
    </xf>
    <xf numFmtId="178" fontId="3" fillId="0" borderId="0" xfId="17" applyNumberFormat="1" applyFont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17" applyNumberFormat="1" applyFont="1" applyBorder="1" applyAlignment="1">
      <alignment/>
    </xf>
    <xf numFmtId="173" fontId="3" fillId="0" borderId="1" xfId="19" applyNumberFormat="1" applyFont="1" applyBorder="1" applyAlignment="1">
      <alignment/>
    </xf>
    <xf numFmtId="4" fontId="10" fillId="0" borderId="0" xfId="0" applyNumberFormat="1" applyFont="1" applyFill="1" applyAlignment="1">
      <alignment/>
    </xf>
    <xf numFmtId="173" fontId="2" fillId="0" borderId="0" xfId="19" applyNumberFormat="1" applyFont="1" applyAlignment="1">
      <alignment/>
    </xf>
    <xf numFmtId="178" fontId="1" fillId="0" borderId="0" xfId="0" applyNumberFormat="1" applyFont="1" applyAlignment="1">
      <alignment horizontal="left"/>
    </xf>
    <xf numFmtId="178" fontId="2" fillId="0" borderId="0" xfId="17" applyNumberFormat="1" applyFont="1" applyAlignment="1">
      <alignment horizontal="left"/>
    </xf>
    <xf numFmtId="178" fontId="1" fillId="0" borderId="0" xfId="17" applyNumberFormat="1" applyFont="1" applyAlignment="1">
      <alignment horizontal="left"/>
    </xf>
    <xf numFmtId="178" fontId="3" fillId="0" borderId="1" xfId="0" applyNumberFormat="1" applyFont="1" applyBorder="1" applyAlignment="1">
      <alignment horizontal="left"/>
    </xf>
    <xf numFmtId="178" fontId="1" fillId="0" borderId="0" xfId="17" applyNumberFormat="1" applyFont="1" applyBorder="1" applyAlignment="1">
      <alignment/>
    </xf>
    <xf numFmtId="178" fontId="1" fillId="0" borderId="0" xfId="0" applyNumberFormat="1" applyFont="1" applyBorder="1" applyAlignment="1">
      <alignment horizontal="left"/>
    </xf>
    <xf numFmtId="178" fontId="3" fillId="0" borderId="5" xfId="0" applyNumberFormat="1" applyFont="1" applyBorder="1" applyAlignment="1">
      <alignment horizontal="left"/>
    </xf>
    <xf numFmtId="178" fontId="3" fillId="0" borderId="0" xfId="17" applyNumberFormat="1" applyFont="1" applyAlignment="1">
      <alignment horizontal="left"/>
    </xf>
    <xf numFmtId="178" fontId="1" fillId="0" borderId="1" xfId="17" applyNumberFormat="1" applyFont="1" applyBorder="1" applyAlignment="1">
      <alignment horizontal="left"/>
    </xf>
    <xf numFmtId="178" fontId="1" fillId="0" borderId="1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190" fontId="8" fillId="0" borderId="0" xfId="18" applyNumberFormat="1" applyFont="1" applyFill="1" applyBorder="1" applyAlignment="1">
      <alignment/>
    </xf>
    <xf numFmtId="192" fontId="8" fillId="0" borderId="0" xfId="18" applyNumberFormat="1" applyFont="1" applyFill="1" applyBorder="1" applyAlignment="1">
      <alignment/>
    </xf>
    <xf numFmtId="0" fontId="9" fillId="0" borderId="0" xfId="0" applyFont="1" applyAlignment="1" quotePrefix="1">
      <alignment horizontal="left"/>
    </xf>
    <xf numFmtId="190" fontId="10" fillId="0" borderId="0" xfId="18" applyNumberFormat="1" applyFont="1" applyFill="1" applyBorder="1" applyAlignment="1">
      <alignment/>
    </xf>
    <xf numFmtId="192" fontId="10" fillId="0" borderId="0" xfId="18" applyNumberFormat="1" applyFont="1" applyFill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 quotePrefix="1">
      <alignment/>
    </xf>
    <xf numFmtId="0" fontId="8" fillId="0" borderId="0" xfId="0" applyFont="1" applyFill="1" applyAlignment="1">
      <alignment/>
    </xf>
    <xf numFmtId="190" fontId="8" fillId="0" borderId="0" xfId="0" applyNumberFormat="1" applyFont="1" applyFill="1" applyAlignment="1">
      <alignment/>
    </xf>
    <xf numFmtId="192" fontId="8" fillId="0" borderId="0" xfId="0" applyNumberFormat="1" applyFont="1" applyFill="1" applyAlignment="1">
      <alignment/>
    </xf>
    <xf numFmtId="190" fontId="10" fillId="0" borderId="0" xfId="0" applyNumberFormat="1" applyFont="1" applyFill="1" applyAlignment="1">
      <alignment/>
    </xf>
    <xf numFmtId="192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90" fontId="1" fillId="0" borderId="0" xfId="0" applyNumberFormat="1" applyFont="1" applyAlignment="1">
      <alignment/>
    </xf>
    <xf numFmtId="0" fontId="8" fillId="0" borderId="0" xfId="0" applyFont="1" applyFill="1" applyAlignment="1">
      <alignment horizontal="center"/>
    </xf>
    <xf numFmtId="170" fontId="1" fillId="0" borderId="0" xfId="0" applyNumberFormat="1" applyFont="1" applyAlignment="1">
      <alignment/>
    </xf>
    <xf numFmtId="0" fontId="8" fillId="0" borderId="0" xfId="0" applyFont="1" applyFill="1" applyAlignment="1">
      <alignment vertical="top"/>
    </xf>
    <xf numFmtId="0" fontId="8" fillId="0" borderId="5" xfId="0" applyFont="1" applyFill="1" applyBorder="1" applyAlignment="1">
      <alignment/>
    </xf>
    <xf numFmtId="0" fontId="8" fillId="0" borderId="5" xfId="0" applyFont="1" applyFill="1" applyBorder="1" applyAlignment="1">
      <alignment horizontal="center"/>
    </xf>
    <xf numFmtId="0" fontId="3" fillId="0" borderId="9" xfId="0" applyFont="1" applyBorder="1" applyAlignment="1">
      <alignment/>
    </xf>
    <xf numFmtId="0" fontId="10" fillId="0" borderId="9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190" fontId="10" fillId="0" borderId="9" xfId="0" applyNumberFormat="1" applyFont="1" applyFill="1" applyBorder="1" applyAlignment="1">
      <alignment/>
    </xf>
    <xf numFmtId="190" fontId="8" fillId="2" borderId="9" xfId="0" applyNumberFormat="1" applyFont="1" applyFill="1" applyBorder="1" applyAlignment="1">
      <alignment/>
    </xf>
    <xf numFmtId="190" fontId="8" fillId="2" borderId="5" xfId="0" applyNumberFormat="1" applyFont="1" applyFill="1" applyBorder="1" applyAlignment="1">
      <alignment/>
    </xf>
    <xf numFmtId="190" fontId="8" fillId="0" borderId="5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90" fontId="8" fillId="2" borderId="10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190" fontId="10" fillId="2" borderId="11" xfId="0" applyNumberFormat="1" applyFont="1" applyFill="1" applyBorder="1" applyAlignment="1">
      <alignment/>
    </xf>
    <xf numFmtId="190" fontId="10" fillId="0" borderId="11" xfId="0" applyNumberFormat="1" applyFont="1" applyFill="1" applyBorder="1" applyAlignment="1">
      <alignment/>
    </xf>
    <xf numFmtId="190" fontId="10" fillId="2" borderId="5" xfId="0" applyNumberFormat="1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1" xfId="0" applyFont="1" applyBorder="1" applyAlignment="1">
      <alignment/>
    </xf>
    <xf numFmtId="190" fontId="10" fillId="2" borderId="10" xfId="0" applyNumberFormat="1" applyFont="1" applyFill="1" applyBorder="1" applyAlignment="1">
      <alignment/>
    </xf>
    <xf numFmtId="190" fontId="10" fillId="2" borderId="9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190" fontId="10" fillId="2" borderId="1" xfId="0" applyNumberFormat="1" applyFont="1" applyFill="1" applyBorder="1" applyAlignment="1">
      <alignment/>
    </xf>
    <xf numFmtId="190" fontId="10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8" fontId="1" fillId="0" borderId="0" xfId="18" applyFont="1" applyAlignment="1">
      <alignment/>
    </xf>
    <xf numFmtId="0" fontId="8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170" fontId="8" fillId="0" borderId="0" xfId="0" applyNumberFormat="1" applyFont="1" applyFill="1" applyAlignment="1">
      <alignment/>
    </xf>
    <xf numFmtId="173" fontId="8" fillId="0" borderId="0" xfId="19" applyNumberFormat="1" applyFont="1" applyFill="1" applyAlignment="1">
      <alignment/>
    </xf>
    <xf numFmtId="170" fontId="8" fillId="0" borderId="1" xfId="0" applyNumberFormat="1" applyFont="1" applyFill="1" applyBorder="1" applyAlignment="1">
      <alignment/>
    </xf>
    <xf numFmtId="173" fontId="8" fillId="0" borderId="1" xfId="19" applyNumberFormat="1" applyFont="1" applyFill="1" applyBorder="1" applyAlignment="1">
      <alignment/>
    </xf>
    <xf numFmtId="0" fontId="8" fillId="0" borderId="5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8" fillId="0" borderId="4" xfId="0" applyFont="1" applyFill="1" applyBorder="1" applyAlignment="1">
      <alignment horizontal="centerContinuous"/>
    </xf>
    <xf numFmtId="0" fontId="10" fillId="0" borderId="4" xfId="0" applyFont="1" applyFill="1" applyBorder="1" applyAlignment="1">
      <alignment/>
    </xf>
    <xf numFmtId="0" fontId="5" fillId="0" borderId="0" xfId="0" applyFont="1" applyAlignment="1">
      <alignment/>
    </xf>
    <xf numFmtId="2" fontId="8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170" fontId="5" fillId="0" borderId="0" xfId="0" applyNumberFormat="1" applyFont="1" applyAlignment="1">
      <alignment/>
    </xf>
    <xf numFmtId="1" fontId="8" fillId="0" borderId="0" xfId="0" applyNumberFormat="1" applyFont="1" applyFill="1" applyAlignment="1">
      <alignment/>
    </xf>
    <xf numFmtId="1" fontId="5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Continuous"/>
    </xf>
    <xf numFmtId="2" fontId="5" fillId="0" borderId="0" xfId="0" applyNumberFormat="1" applyFont="1" applyAlignment="1">
      <alignment/>
    </xf>
    <xf numFmtId="3" fontId="8" fillId="0" borderId="1" xfId="0" applyNumberFormat="1" applyFont="1" applyFill="1" applyBorder="1" applyAlignment="1">
      <alignment/>
    </xf>
    <xf numFmtId="1" fontId="8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193" fontId="10" fillId="0" borderId="9" xfId="0" applyNumberFormat="1" applyFont="1" applyFill="1" applyBorder="1" applyAlignment="1">
      <alignment/>
    </xf>
    <xf numFmtId="193" fontId="8" fillId="0" borderId="5" xfId="0" applyNumberFormat="1" applyFont="1" applyFill="1" applyBorder="1" applyAlignment="1">
      <alignment/>
    </xf>
    <xf numFmtId="193" fontId="10" fillId="0" borderId="10" xfId="0" applyNumberFormat="1" applyFont="1" applyFill="1" applyBorder="1" applyAlignment="1">
      <alignment/>
    </xf>
    <xf numFmtId="193" fontId="8" fillId="0" borderId="11" xfId="0" applyNumberFormat="1" applyFont="1" applyFill="1" applyBorder="1" applyAlignment="1">
      <alignment/>
    </xf>
    <xf numFmtId="193" fontId="10" fillId="2" borderId="11" xfId="0" applyNumberFormat="1" applyFont="1" applyFill="1" applyBorder="1" applyAlignment="1">
      <alignment/>
    </xf>
    <xf numFmtId="193" fontId="8" fillId="0" borderId="10" xfId="0" applyNumberFormat="1" applyFont="1" applyFill="1" applyBorder="1" applyAlignment="1">
      <alignment/>
    </xf>
    <xf numFmtId="193" fontId="8" fillId="0" borderId="9" xfId="0" applyNumberFormat="1" applyFont="1" applyFill="1" applyBorder="1" applyAlignment="1">
      <alignment/>
    </xf>
    <xf numFmtId="193" fontId="8" fillId="0" borderId="1" xfId="0" applyNumberFormat="1" applyFont="1" applyFill="1" applyBorder="1" applyAlignment="1">
      <alignment/>
    </xf>
    <xf numFmtId="193" fontId="8" fillId="0" borderId="0" xfId="0" applyNumberFormat="1" applyFont="1" applyFill="1" applyAlignment="1">
      <alignment/>
    </xf>
    <xf numFmtId="193" fontId="8" fillId="0" borderId="0" xfId="18" applyNumberFormat="1" applyFont="1" applyFill="1" applyAlignment="1">
      <alignment/>
    </xf>
    <xf numFmtId="2" fontId="8" fillId="0" borderId="1" xfId="0" applyNumberFormat="1" applyFont="1" applyFill="1" applyBorder="1" applyAlignment="1">
      <alignment/>
    </xf>
    <xf numFmtId="193" fontId="8" fillId="0" borderId="1" xfId="18" applyNumberFormat="1" applyFont="1" applyFill="1" applyBorder="1" applyAlignment="1">
      <alignment/>
    </xf>
    <xf numFmtId="193" fontId="10" fillId="0" borderId="0" xfId="0" applyNumberFormat="1" applyFont="1" applyFill="1" applyAlignment="1">
      <alignment/>
    </xf>
    <xf numFmtId="193" fontId="8" fillId="0" borderId="5" xfId="18" applyNumberFormat="1" applyFont="1" applyFill="1" applyBorder="1" applyAlignment="1">
      <alignment/>
    </xf>
    <xf numFmtId="2" fontId="8" fillId="0" borderId="5" xfId="0" applyNumberFormat="1" applyFont="1" applyFill="1" applyBorder="1" applyAlignment="1">
      <alignment/>
    </xf>
    <xf numFmtId="173" fontId="8" fillId="0" borderId="5" xfId="19" applyNumberFormat="1" applyFont="1" applyFill="1" applyBorder="1" applyAlignment="1">
      <alignment/>
    </xf>
    <xf numFmtId="193" fontId="8" fillId="0" borderId="0" xfId="18" applyNumberFormat="1" applyFont="1" applyFill="1" applyBorder="1" applyAlignment="1">
      <alignment/>
    </xf>
    <xf numFmtId="193" fontId="10" fillId="0" borderId="0" xfId="18" applyNumberFormat="1" applyFont="1" applyFill="1" applyBorder="1" applyAlignment="1">
      <alignment/>
    </xf>
    <xf numFmtId="193" fontId="9" fillId="0" borderId="0" xfId="0" applyNumberFormat="1" applyFont="1" applyAlignment="1">
      <alignment/>
    </xf>
    <xf numFmtId="193" fontId="3" fillId="0" borderId="0" xfId="0" applyNumberFormat="1" applyFont="1" applyAlignment="1">
      <alignment/>
    </xf>
    <xf numFmtId="193" fontId="1" fillId="0" borderId="0" xfId="0" applyNumberFormat="1" applyFont="1" applyAlignment="1">
      <alignment/>
    </xf>
    <xf numFmtId="193" fontId="2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8" fillId="0" borderId="0" xfId="0" applyNumberFormat="1" applyFont="1" applyFill="1" applyAlignment="1">
      <alignment/>
    </xf>
    <xf numFmtId="41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73" fontId="16" fillId="0" borderId="0" xfId="19" applyNumberFormat="1" applyFont="1" applyAlignment="1" applyProtection="1">
      <alignment/>
      <protection hidden="1"/>
    </xf>
    <xf numFmtId="193" fontId="3" fillId="0" borderId="1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 quotePrefix="1">
      <alignment/>
    </xf>
    <xf numFmtId="2" fontId="3" fillId="0" borderId="0" xfId="0" applyNumberFormat="1" applyFont="1" applyAlignment="1">
      <alignment horizontal="left"/>
    </xf>
    <xf numFmtId="41" fontId="0" fillId="0" borderId="0" xfId="17" applyBorder="1" applyAlignment="1">
      <alignment/>
    </xf>
    <xf numFmtId="41" fontId="0" fillId="0" borderId="0" xfId="17" applyNumberFormat="1" applyBorder="1" applyAlignment="1">
      <alignment/>
    </xf>
    <xf numFmtId="41" fontId="0" fillId="0" borderId="3" xfId="17" applyBorder="1" applyAlignment="1">
      <alignment/>
    </xf>
    <xf numFmtId="41" fontId="0" fillId="0" borderId="1" xfId="17" applyBorder="1" applyAlignment="1">
      <alignment/>
    </xf>
    <xf numFmtId="41" fontId="0" fillId="0" borderId="2" xfId="17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1" fontId="0" fillId="0" borderId="1" xfId="17" applyNumberFormat="1" applyBorder="1" applyAlignment="1">
      <alignment/>
    </xf>
    <xf numFmtId="197" fontId="0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0" fontId="8" fillId="0" borderId="17" xfId="0" applyFont="1" applyFill="1" applyBorder="1" applyAlignment="1">
      <alignment/>
    </xf>
    <xf numFmtId="2" fontId="8" fillId="0" borderId="18" xfId="0" applyNumberFormat="1" applyFont="1" applyFill="1" applyBorder="1" applyAlignment="1">
      <alignment/>
    </xf>
    <xf numFmtId="0" fontId="8" fillId="0" borderId="21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center"/>
    </xf>
    <xf numFmtId="173" fontId="8" fillId="0" borderId="19" xfId="0" applyNumberFormat="1" applyFont="1" applyFill="1" applyBorder="1" applyAlignment="1">
      <alignment/>
    </xf>
    <xf numFmtId="193" fontId="8" fillId="0" borderId="0" xfId="0" applyNumberFormat="1" applyFont="1" applyFill="1" applyBorder="1" applyAlignment="1">
      <alignment/>
    </xf>
    <xf numFmtId="9" fontId="8" fillId="0" borderId="19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9" fontId="10" fillId="0" borderId="19" xfId="0" applyNumberFormat="1" applyFont="1" applyFill="1" applyBorder="1" applyAlignment="1">
      <alignment/>
    </xf>
    <xf numFmtId="193" fontId="10" fillId="0" borderId="0" xfId="0" applyNumberFormat="1" applyFont="1" applyFill="1" applyBorder="1" applyAlignment="1">
      <alignment/>
    </xf>
    <xf numFmtId="2" fontId="10" fillId="0" borderId="20" xfId="0" applyNumberFormat="1" applyFont="1" applyFill="1" applyBorder="1" applyAlignment="1">
      <alignment/>
    </xf>
    <xf numFmtId="173" fontId="10" fillId="0" borderId="19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2" xfId="0" applyNumberFormat="1" applyFont="1" applyFill="1" applyBorder="1" applyAlignment="1">
      <alignment/>
    </xf>
    <xf numFmtId="0" fontId="3" fillId="0" borderId="19" xfId="0" applyFont="1" applyBorder="1" applyAlignment="1">
      <alignment/>
    </xf>
    <xf numFmtId="193" fontId="3" fillId="0" borderId="0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1" fillId="0" borderId="23" xfId="0" applyFont="1" applyBorder="1" applyAlignment="1">
      <alignment/>
    </xf>
    <xf numFmtId="193" fontId="8" fillId="0" borderId="24" xfId="18" applyNumberFormat="1" applyFont="1" applyFill="1" applyBorder="1" applyAlignment="1">
      <alignment/>
    </xf>
    <xf numFmtId="0" fontId="1" fillId="0" borderId="25" xfId="0" applyFont="1" applyBorder="1" applyAlignment="1">
      <alignment/>
    </xf>
    <xf numFmtId="201" fontId="10" fillId="0" borderId="0" xfId="0" applyNumberFormat="1" applyFont="1" applyFill="1" applyAlignment="1">
      <alignment/>
    </xf>
    <xf numFmtId="0" fontId="3" fillId="0" borderId="26" xfId="0" applyFont="1" applyBorder="1" applyAlignment="1">
      <alignment/>
    </xf>
    <xf numFmtId="0" fontId="8" fillId="0" borderId="27" xfId="0" applyFont="1" applyFill="1" applyBorder="1" applyAlignment="1">
      <alignment horizontal="center" vertical="center" wrapText="1"/>
    </xf>
    <xf numFmtId="193" fontId="8" fillId="0" borderId="28" xfId="18" applyNumberFormat="1" applyFont="1" applyFill="1" applyBorder="1" applyAlignment="1">
      <alignment/>
    </xf>
    <xf numFmtId="193" fontId="8" fillId="0" borderId="27" xfId="18" applyNumberFormat="1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193" fontId="8" fillId="0" borderId="28" xfId="0" applyNumberFormat="1" applyFont="1" applyFill="1" applyBorder="1" applyAlignment="1">
      <alignment/>
    </xf>
    <xf numFmtId="193" fontId="10" fillId="0" borderId="28" xfId="0" applyNumberFormat="1" applyFont="1" applyFill="1" applyBorder="1" applyAlignment="1">
      <alignment/>
    </xf>
    <xf numFmtId="193" fontId="8" fillId="0" borderId="29" xfId="18" applyNumberFormat="1" applyFont="1" applyFill="1" applyBorder="1" applyAlignment="1">
      <alignment/>
    </xf>
    <xf numFmtId="193" fontId="3" fillId="0" borderId="28" xfId="0" applyNumberFormat="1" applyFont="1" applyBorder="1" applyAlignment="1">
      <alignment/>
    </xf>
    <xf numFmtId="193" fontId="3" fillId="0" borderId="27" xfId="0" applyNumberFormat="1" applyFont="1" applyBorder="1" applyAlignment="1">
      <alignment/>
    </xf>
    <xf numFmtId="193" fontId="8" fillId="0" borderId="30" xfId="18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22" xfId="0" applyBorder="1" applyAlignment="1">
      <alignment/>
    </xf>
  </cellXfs>
  <cellStyles count="9">
    <cellStyle name="Normal" xfId="0"/>
    <cellStyle name="Comma" xfId="15"/>
    <cellStyle name="Migliaia (0)_azie4278 euro.xls Grafico 1" xfId="16"/>
    <cellStyle name="Comma [0]" xfId="17"/>
    <cellStyle name="Migliaia_Bilancio Azienda 4278" xfId="18"/>
    <cellStyle name="Percent" xfId="19"/>
    <cellStyle name="Currency" xfId="20"/>
    <cellStyle name="Valuta (0)_azie4278 euro.xls Grafico 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Break even analysis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6925"/>
          <c:w val="0.62275"/>
          <c:h val="0.70475"/>
        </c:manualLayout>
      </c:layout>
      <c:lineChart>
        <c:grouping val="standard"/>
        <c:varyColors val="0"/>
        <c:ser>
          <c:idx val="2"/>
          <c:order val="0"/>
          <c:tx>
            <c:strRef>
              <c:f>'Break even'!$C$3</c:f>
              <c:strCache>
                <c:ptCount val="1"/>
                <c:pt idx="0">
                  <c:v>Ricavo totale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'Break even'!$A$4:$A$14</c:f>
              <c:numCache/>
            </c:numRef>
          </c:cat>
          <c:val>
            <c:numRef>
              <c:f>'Break even'!$C$4:$C$14</c:f>
              <c:numCache/>
            </c:numRef>
          </c:val>
          <c:smooth val="0"/>
        </c:ser>
        <c:ser>
          <c:idx val="4"/>
          <c:order val="1"/>
          <c:tx>
            <c:strRef>
              <c:f>'Break even'!$D$3</c:f>
              <c:strCache>
                <c:ptCount val="1"/>
                <c:pt idx="0">
                  <c:v>Costi fissi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'Break even'!$A$4:$A$14</c:f>
              <c:numCache/>
            </c:numRef>
          </c:cat>
          <c:val>
            <c:numRef>
              <c:f>'Break even'!$D$4:$D$14</c:f>
              <c:numCache/>
            </c:numRef>
          </c:val>
          <c:smooth val="0"/>
        </c:ser>
        <c:ser>
          <c:idx val="5"/>
          <c:order val="2"/>
          <c:tx>
            <c:strRef>
              <c:f>'Break even'!$F$3</c:f>
              <c:strCache>
                <c:ptCount val="1"/>
                <c:pt idx="0">
                  <c:v>Costi variabili totali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'Break even'!$A$4:$A$14</c:f>
              <c:numCache/>
            </c:numRef>
          </c:cat>
          <c:val>
            <c:numRef>
              <c:f>'Break even'!$F$4:$F$14</c:f>
              <c:numCache/>
            </c:numRef>
          </c:val>
          <c:smooth val="0"/>
        </c:ser>
        <c:ser>
          <c:idx val="0"/>
          <c:order val="3"/>
          <c:tx>
            <c:strRef>
              <c:f>'Break even'!$G$3</c:f>
              <c:strCache>
                <c:ptCount val="1"/>
                <c:pt idx="0">
                  <c:v>Costi totali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'Break even'!$A$4:$A$14</c:f>
              <c:numCache/>
            </c:numRef>
          </c:cat>
          <c:val>
            <c:numRef>
              <c:f>'Break even'!$G$4:$G$14</c:f>
              <c:numCache/>
            </c:numRef>
          </c:val>
          <c:smooth val="0"/>
        </c:ser>
        <c:axId val="15494851"/>
        <c:axId val="5235932"/>
      </c:lineChart>
      <c:catAx>
        <c:axId val="15494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Quantità (tonn)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35932"/>
        <c:crosses val="autoZero"/>
        <c:auto val="0"/>
        <c:lblOffset val="100"/>
        <c:noMultiLvlLbl val="0"/>
      </c:catAx>
      <c:valAx>
        <c:axId val="5235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Costi e ricavi (€)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49485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9525</xdr:rowOff>
    </xdr:from>
    <xdr:to>
      <xdr:col>6</xdr:col>
      <xdr:colOff>619125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57150" y="2790825"/>
        <a:ext cx="47815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/>
  <dimension ref="A1:H11"/>
  <sheetViews>
    <sheetView workbookViewId="0" topLeftCell="A1">
      <pane ySplit="1" topLeftCell="BM2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1" max="1" width="14.8515625" style="1" customWidth="1"/>
    <col min="2" max="2" width="3.8515625" style="1" customWidth="1"/>
    <col min="3" max="3" width="7.8515625" style="1" customWidth="1"/>
    <col min="4" max="4" width="20.7109375" style="1" customWidth="1"/>
    <col min="5" max="5" width="7.7109375" style="3" customWidth="1"/>
    <col min="6" max="6" width="8.7109375" style="3" bestFit="1" customWidth="1"/>
    <col min="7" max="8" width="8.57421875" style="3" bestFit="1" customWidth="1"/>
  </cols>
  <sheetData>
    <row r="1" spans="1:8" ht="12.75">
      <c r="A1" s="1" t="s">
        <v>0</v>
      </c>
      <c r="B1" s="1" t="s">
        <v>1</v>
      </c>
      <c r="C1" s="1" t="s">
        <v>189</v>
      </c>
      <c r="D1" s="1" t="s">
        <v>3</v>
      </c>
      <c r="E1" s="3" t="s">
        <v>190</v>
      </c>
      <c r="F1" s="3" t="s">
        <v>191</v>
      </c>
      <c r="G1" s="3" t="s">
        <v>192</v>
      </c>
      <c r="H1" s="3" t="s">
        <v>193</v>
      </c>
    </row>
    <row r="2" spans="1:8" ht="12.75">
      <c r="A2" s="1" t="s">
        <v>79</v>
      </c>
      <c r="B2" s="45" t="s">
        <v>549</v>
      </c>
      <c r="C2" s="1" t="s">
        <v>194</v>
      </c>
      <c r="D2" s="1" t="s">
        <v>195</v>
      </c>
      <c r="E2" s="3">
        <v>17.8</v>
      </c>
      <c r="F2" s="3">
        <v>0</v>
      </c>
      <c r="G2" s="3">
        <v>0</v>
      </c>
      <c r="H2" s="3">
        <v>0</v>
      </c>
    </row>
    <row r="3" spans="1:8" ht="12.75">
      <c r="A3" s="1" t="s">
        <v>79</v>
      </c>
      <c r="B3" s="45" t="s">
        <v>549</v>
      </c>
      <c r="C3" s="1" t="s">
        <v>196</v>
      </c>
      <c r="D3" s="1" t="s">
        <v>197</v>
      </c>
      <c r="E3" s="3">
        <v>0</v>
      </c>
      <c r="F3" s="3">
        <v>0</v>
      </c>
      <c r="G3" s="3">
        <v>13.17</v>
      </c>
      <c r="H3" s="3">
        <v>0</v>
      </c>
    </row>
    <row r="4" spans="1:8" ht="12.75">
      <c r="A4" s="1" t="s">
        <v>79</v>
      </c>
      <c r="B4" s="45" t="s">
        <v>549</v>
      </c>
      <c r="C4" s="1" t="s">
        <v>198</v>
      </c>
      <c r="D4" s="1" t="s">
        <v>199</v>
      </c>
      <c r="E4" s="3">
        <v>3.13</v>
      </c>
      <c r="F4" s="3">
        <v>0</v>
      </c>
      <c r="G4" s="3">
        <v>0</v>
      </c>
      <c r="H4" s="3">
        <v>0</v>
      </c>
    </row>
    <row r="5" spans="1:8" ht="12.75">
      <c r="A5" s="1" t="s">
        <v>79</v>
      </c>
      <c r="B5" s="45" t="s">
        <v>549</v>
      </c>
      <c r="C5" s="1" t="s">
        <v>200</v>
      </c>
      <c r="D5" s="1" t="s">
        <v>201</v>
      </c>
      <c r="E5" s="3">
        <v>15.8</v>
      </c>
      <c r="F5" s="3">
        <v>3</v>
      </c>
      <c r="G5" s="3">
        <v>0</v>
      </c>
      <c r="H5" s="3">
        <v>0</v>
      </c>
    </row>
    <row r="6" spans="1:5" ht="12.75">
      <c r="A6" s="1" t="s">
        <v>79</v>
      </c>
      <c r="B6" s="45" t="s">
        <v>549</v>
      </c>
      <c r="C6" s="1" t="s">
        <v>202</v>
      </c>
      <c r="D6" s="1" t="s">
        <v>203</v>
      </c>
      <c r="E6" s="3">
        <v>3.03</v>
      </c>
    </row>
    <row r="7" spans="1:8" ht="12.75">
      <c r="A7" s="41"/>
      <c r="B7" s="40"/>
      <c r="C7" s="41"/>
      <c r="D7" s="41"/>
      <c r="E7" s="41"/>
      <c r="F7" s="41"/>
      <c r="G7" s="41"/>
      <c r="H7" s="41"/>
    </row>
    <row r="8" spans="1:8" ht="12.75">
      <c r="A8" s="41"/>
      <c r="B8" s="40"/>
      <c r="C8" s="41"/>
      <c r="D8" s="41"/>
      <c r="E8" s="41"/>
      <c r="F8" s="41"/>
      <c r="G8" s="41"/>
      <c r="H8" s="41"/>
    </row>
    <row r="9" spans="1:8" ht="12.75">
      <c r="A9" s="41"/>
      <c r="B9" s="40"/>
      <c r="C9" s="41"/>
      <c r="D9" s="41"/>
      <c r="E9" s="41"/>
      <c r="F9" s="41"/>
      <c r="G9" s="41"/>
      <c r="H9" s="41"/>
    </row>
    <row r="10" spans="1:8" ht="12.75">
      <c r="A10" s="41"/>
      <c r="B10" s="40"/>
      <c r="C10" s="41"/>
      <c r="D10" s="41"/>
      <c r="E10" s="41"/>
      <c r="F10" s="41"/>
      <c r="G10" s="41"/>
      <c r="H10" s="41"/>
    </row>
    <row r="11" spans="1:8" ht="12.75">
      <c r="A11" s="41"/>
      <c r="B11" s="40"/>
      <c r="C11" s="41"/>
      <c r="D11" s="41"/>
      <c r="E11" s="41"/>
      <c r="F11" s="41"/>
      <c r="G11" s="41"/>
      <c r="H11" s="41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5"/>
  <dimension ref="A1:K10"/>
  <sheetViews>
    <sheetView workbookViewId="0" topLeftCell="A1">
      <selection activeCell="A1" sqref="A1"/>
    </sheetView>
  </sheetViews>
  <sheetFormatPr defaultColWidth="9.140625" defaultRowHeight="12.75"/>
  <cols>
    <col min="1" max="1" width="13.7109375" style="1" customWidth="1"/>
    <col min="2" max="2" width="7.8515625" style="6" customWidth="1"/>
    <col min="3" max="3" width="6.7109375" style="1" customWidth="1"/>
    <col min="4" max="4" width="20.7109375" style="1" customWidth="1"/>
    <col min="5" max="5" width="2.7109375" style="1" customWidth="1"/>
    <col min="6" max="6" width="9.7109375" style="3" customWidth="1"/>
    <col min="7" max="7" width="7.7109375" style="1" customWidth="1"/>
    <col min="8" max="8" width="9.7109375" style="1" customWidth="1"/>
    <col min="9" max="9" width="9.7109375" style="3" customWidth="1"/>
    <col min="10" max="10" width="7.7109375" style="1" customWidth="1"/>
    <col min="11" max="11" width="8.57421875" style="1" bestFit="1" customWidth="1"/>
  </cols>
  <sheetData>
    <row r="1" ht="12.75">
      <c r="A1" s="1" t="s">
        <v>462</v>
      </c>
    </row>
    <row r="3" spans="1:11" ht="12.75">
      <c r="A3" s="1" t="s">
        <v>0</v>
      </c>
      <c r="B3" s="6" t="s">
        <v>1</v>
      </c>
      <c r="C3" s="1" t="s">
        <v>245</v>
      </c>
      <c r="D3" s="1" t="s">
        <v>3</v>
      </c>
      <c r="E3" s="1" t="s">
        <v>204</v>
      </c>
      <c r="F3" s="3" t="s">
        <v>246</v>
      </c>
      <c r="G3" s="1" t="s">
        <v>247</v>
      </c>
      <c r="H3" s="1" t="s">
        <v>248</v>
      </c>
      <c r="I3" s="3" t="s">
        <v>249</v>
      </c>
      <c r="J3" s="1" t="s">
        <v>250</v>
      </c>
      <c r="K3" s="3" t="s">
        <v>251</v>
      </c>
    </row>
    <row r="4" spans="1:11" ht="12.75">
      <c r="A4" s="1" t="s">
        <v>79</v>
      </c>
      <c r="B4" s="6">
        <v>2000</v>
      </c>
      <c r="C4" s="1" t="s">
        <v>252</v>
      </c>
      <c r="D4" s="1" t="s">
        <v>253</v>
      </c>
      <c r="E4" s="1" t="s">
        <v>254</v>
      </c>
      <c r="F4" s="3">
        <v>380</v>
      </c>
      <c r="G4" s="54">
        <v>2.5822894736842104</v>
      </c>
      <c r="H4" s="3">
        <v>981.27</v>
      </c>
      <c r="I4" s="3">
        <v>0</v>
      </c>
      <c r="J4" s="54">
        <v>0</v>
      </c>
      <c r="K4" s="3">
        <v>0</v>
      </c>
    </row>
    <row r="5" spans="1:11" ht="12.75">
      <c r="A5" s="1" t="s">
        <v>79</v>
      </c>
      <c r="B5" s="6">
        <v>2000</v>
      </c>
      <c r="C5" s="1" t="s">
        <v>255</v>
      </c>
      <c r="D5" s="1" t="s">
        <v>460</v>
      </c>
      <c r="E5" s="1" t="s">
        <v>254</v>
      </c>
      <c r="F5" s="3">
        <v>0.1</v>
      </c>
      <c r="G5" s="54">
        <v>36.93</v>
      </c>
      <c r="H5" s="3">
        <v>3.693</v>
      </c>
      <c r="I5" s="3">
        <v>0</v>
      </c>
      <c r="J5" s="54">
        <v>0</v>
      </c>
      <c r="K5" s="3">
        <v>0</v>
      </c>
    </row>
    <row r="6" spans="1:11" ht="12.75">
      <c r="A6" s="1" t="s">
        <v>79</v>
      </c>
      <c r="B6" s="6">
        <v>2000</v>
      </c>
      <c r="C6" s="1" t="s">
        <v>256</v>
      </c>
      <c r="D6" s="1" t="s">
        <v>447</v>
      </c>
      <c r="E6" s="1" t="s">
        <v>254</v>
      </c>
      <c r="F6" s="3">
        <v>2000</v>
      </c>
      <c r="G6" s="54">
        <v>0.3</v>
      </c>
      <c r="H6" s="3">
        <v>600</v>
      </c>
      <c r="I6" s="3">
        <v>1200</v>
      </c>
      <c r="J6" s="54">
        <v>0.4</v>
      </c>
      <c r="K6" s="3">
        <v>480</v>
      </c>
    </row>
    <row r="7" spans="1:11" ht="12.75">
      <c r="A7" s="1" t="s">
        <v>79</v>
      </c>
      <c r="B7" s="6">
        <v>2000</v>
      </c>
      <c r="C7" s="1" t="s">
        <v>194</v>
      </c>
      <c r="D7" s="1" t="s">
        <v>195</v>
      </c>
      <c r="E7" s="1" t="s">
        <v>254</v>
      </c>
      <c r="F7" s="3">
        <v>7235</v>
      </c>
      <c r="G7" s="54">
        <v>2.74</v>
      </c>
      <c r="H7" s="3">
        <v>19803.8</v>
      </c>
      <c r="I7" s="3">
        <v>4925</v>
      </c>
      <c r="J7" s="54">
        <v>2.74</v>
      </c>
      <c r="K7" s="3">
        <v>13494.5</v>
      </c>
    </row>
    <row r="8" spans="1:11" ht="12.75">
      <c r="A8" s="1" t="s">
        <v>79</v>
      </c>
      <c r="B8" s="6">
        <v>2000</v>
      </c>
      <c r="C8" s="1" t="s">
        <v>196</v>
      </c>
      <c r="D8" s="1" t="s">
        <v>197</v>
      </c>
      <c r="E8" s="1" t="s">
        <v>254</v>
      </c>
      <c r="F8" s="3">
        <v>568</v>
      </c>
      <c r="G8" s="54">
        <v>2.582288732394366</v>
      </c>
      <c r="H8" s="3">
        <v>1466.74</v>
      </c>
      <c r="I8" s="3">
        <v>428</v>
      </c>
      <c r="J8" s="54">
        <v>2.582288732394366</v>
      </c>
      <c r="K8" s="3">
        <v>1105.2195774647887</v>
      </c>
    </row>
    <row r="9" spans="1:11" ht="12.75">
      <c r="A9" s="1" t="s">
        <v>79</v>
      </c>
      <c r="B9" s="6">
        <v>2000</v>
      </c>
      <c r="C9" s="1" t="s">
        <v>198</v>
      </c>
      <c r="D9" s="1" t="s">
        <v>199</v>
      </c>
      <c r="E9" s="1" t="s">
        <v>254</v>
      </c>
      <c r="F9" s="3">
        <v>375</v>
      </c>
      <c r="G9" s="54">
        <v>10</v>
      </c>
      <c r="H9" s="3">
        <v>3750</v>
      </c>
      <c r="I9" s="3">
        <v>299</v>
      </c>
      <c r="J9" s="54">
        <v>10</v>
      </c>
      <c r="K9" s="3">
        <v>2990</v>
      </c>
    </row>
    <row r="10" spans="1:11" ht="12.75">
      <c r="A10" s="1" t="s">
        <v>79</v>
      </c>
      <c r="B10" s="6">
        <v>2000</v>
      </c>
      <c r="C10" s="1" t="s">
        <v>200</v>
      </c>
      <c r="D10" s="1" t="s">
        <v>461</v>
      </c>
      <c r="E10" s="1" t="s">
        <v>254</v>
      </c>
      <c r="F10" s="3">
        <v>604</v>
      </c>
      <c r="G10" s="54">
        <v>8.5</v>
      </c>
      <c r="H10" s="3">
        <v>5134</v>
      </c>
      <c r="I10" s="3">
        <v>308</v>
      </c>
      <c r="J10" s="54">
        <v>8.5</v>
      </c>
      <c r="K10" s="3">
        <v>2618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20"/>
  <dimension ref="A1:T76"/>
  <sheetViews>
    <sheetView workbookViewId="0" topLeftCell="A16">
      <selection activeCell="H15" sqref="H15"/>
    </sheetView>
  </sheetViews>
  <sheetFormatPr defaultColWidth="9.140625" defaultRowHeight="12.75"/>
  <cols>
    <col min="1" max="1" width="9.00390625" style="1" bestFit="1" customWidth="1"/>
    <col min="2" max="2" width="10.140625" style="1" bestFit="1" customWidth="1"/>
    <col min="3" max="3" width="18.57421875" style="1" bestFit="1" customWidth="1"/>
    <col min="4" max="4" width="3.8515625" style="6" bestFit="1" customWidth="1"/>
    <col min="5" max="5" width="8.57421875" style="3" bestFit="1" customWidth="1"/>
    <col min="6" max="6" width="6.8515625" style="1" bestFit="1" customWidth="1"/>
    <col min="7" max="8" width="10.8515625" style="1" customWidth="1"/>
    <col min="9" max="9" width="8.28125" style="1" customWidth="1"/>
    <col min="10" max="10" width="2.7109375" style="1" customWidth="1"/>
    <col min="11" max="15" width="5.7109375" style="1" customWidth="1"/>
    <col min="16" max="16" width="8.7109375" style="1" customWidth="1"/>
    <col min="17" max="18" width="9.7109375" style="3" customWidth="1"/>
    <col min="19" max="20" width="8.7109375" style="1" customWidth="1"/>
  </cols>
  <sheetData>
    <row r="1" spans="7:8" ht="12.75">
      <c r="G1" s="213" t="s">
        <v>364</v>
      </c>
      <c r="H1" s="213"/>
    </row>
    <row r="2" spans="7:8" ht="12.75">
      <c r="G2" s="214" t="s">
        <v>253</v>
      </c>
      <c r="H2" s="214"/>
    </row>
    <row r="3" spans="2:20" ht="12.75">
      <c r="B3" s="6" t="s">
        <v>125</v>
      </c>
      <c r="C3" s="1" t="s">
        <v>366</v>
      </c>
      <c r="D3" s="6" t="s">
        <v>367</v>
      </c>
      <c r="E3" s="3" t="s">
        <v>369</v>
      </c>
      <c r="F3" s="6" t="s">
        <v>370</v>
      </c>
      <c r="G3" s="9" t="s">
        <v>361</v>
      </c>
      <c r="H3" s="8" t="s">
        <v>124</v>
      </c>
      <c r="I3" s="1" t="s">
        <v>259</v>
      </c>
      <c r="J3" s="1" t="s">
        <v>260</v>
      </c>
      <c r="K3" s="1" t="s">
        <v>261</v>
      </c>
      <c r="L3" s="1" t="s">
        <v>262</v>
      </c>
      <c r="M3" s="1" t="s">
        <v>263</v>
      </c>
      <c r="N3" s="1" t="s">
        <v>235</v>
      </c>
      <c r="O3" s="1" t="s">
        <v>264</v>
      </c>
      <c r="P3" s="1" t="s">
        <v>269</v>
      </c>
      <c r="Q3" s="3" t="s">
        <v>265</v>
      </c>
      <c r="R3" s="3" t="s">
        <v>266</v>
      </c>
      <c r="S3" s="1" t="s">
        <v>267</v>
      </c>
      <c r="T3" s="1" t="s">
        <v>268</v>
      </c>
    </row>
    <row r="4" spans="1:20" ht="12.75">
      <c r="A4" s="1" t="s">
        <v>252</v>
      </c>
      <c r="B4" s="4">
        <v>36526</v>
      </c>
      <c r="C4" s="1" t="s">
        <v>424</v>
      </c>
      <c r="D4" s="6" t="s">
        <v>368</v>
      </c>
      <c r="E4" s="3">
        <v>380</v>
      </c>
      <c r="F4" s="3">
        <v>2.5822844954474324</v>
      </c>
      <c r="G4" s="63">
        <f>+E4*F4</f>
        <v>981.2681082700243</v>
      </c>
      <c r="H4" s="3"/>
      <c r="I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Q4" s="3">
        <v>0</v>
      </c>
      <c r="R4" s="3">
        <v>0</v>
      </c>
      <c r="S4" s="1">
        <v>0</v>
      </c>
      <c r="T4" s="3">
        <f>+G4</f>
        <v>981.2681082700243</v>
      </c>
    </row>
    <row r="5" spans="1:20" ht="12.75">
      <c r="A5" s="1" t="s">
        <v>252</v>
      </c>
      <c r="B5" s="4">
        <v>36540</v>
      </c>
      <c r="C5" s="1" t="s">
        <v>425</v>
      </c>
      <c r="D5" s="6" t="s">
        <v>368</v>
      </c>
      <c r="E5" s="3">
        <v>380</v>
      </c>
      <c r="F5" s="3">
        <v>3.6151982936264053</v>
      </c>
      <c r="G5" s="63"/>
      <c r="H5" s="3">
        <f>+E5*F5</f>
        <v>1373.7753515780341</v>
      </c>
      <c r="I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Q5" s="3">
        <v>0</v>
      </c>
      <c r="R5" s="3">
        <v>0</v>
      </c>
      <c r="S5" s="1">
        <v>0</v>
      </c>
      <c r="T5" s="1">
        <v>0</v>
      </c>
    </row>
    <row r="6" spans="2:8" ht="12.75">
      <c r="B6" s="4">
        <v>36891</v>
      </c>
      <c r="C6" s="1" t="s">
        <v>426</v>
      </c>
      <c r="G6" s="65">
        <f>+H5-G4</f>
        <v>392.50724330800983</v>
      </c>
      <c r="H6" s="12"/>
    </row>
    <row r="7" spans="2:8" ht="12.75">
      <c r="B7" s="4"/>
      <c r="C7" s="1" t="s">
        <v>363</v>
      </c>
      <c r="G7" s="3">
        <f>SUM(G4:G6)</f>
        <v>1373.7753515780341</v>
      </c>
      <c r="H7" s="3">
        <f>SUM(H4:H6)</f>
        <v>1373.7753515780341</v>
      </c>
    </row>
    <row r="8" ht="12.75">
      <c r="B8" s="4"/>
    </row>
    <row r="9" spans="7:8" ht="12.75">
      <c r="G9" s="213" t="s">
        <v>364</v>
      </c>
      <c r="H9" s="213"/>
    </row>
    <row r="10" spans="7:8" ht="12.75">
      <c r="G10" s="214" t="s">
        <v>427</v>
      </c>
      <c r="H10" s="214"/>
    </row>
    <row r="11" spans="2:8" ht="12.75">
      <c r="B11" s="6" t="s">
        <v>125</v>
      </c>
      <c r="C11" s="1" t="s">
        <v>366</v>
      </c>
      <c r="D11" s="6" t="s">
        <v>367</v>
      </c>
      <c r="E11" s="3" t="s">
        <v>369</v>
      </c>
      <c r="F11" s="6" t="s">
        <v>370</v>
      </c>
      <c r="G11" s="9" t="s">
        <v>361</v>
      </c>
      <c r="H11" s="8" t="s">
        <v>124</v>
      </c>
    </row>
    <row r="12" spans="1:8" ht="12.75">
      <c r="A12" s="1" t="s">
        <v>194</v>
      </c>
      <c r="B12" s="4">
        <v>36526</v>
      </c>
      <c r="C12" s="1" t="s">
        <v>424</v>
      </c>
      <c r="D12" s="6" t="s">
        <v>368</v>
      </c>
      <c r="E12" s="3">
        <v>7235</v>
      </c>
      <c r="F12" s="3">
        <v>2.7372215651742784</v>
      </c>
      <c r="G12" s="62">
        <f>+E12*F12</f>
        <v>19803.798024035903</v>
      </c>
      <c r="H12" s="3"/>
    </row>
    <row r="13" spans="1:8" ht="12.75">
      <c r="A13" s="1" t="s">
        <v>194</v>
      </c>
      <c r="B13" s="4">
        <v>36784</v>
      </c>
      <c r="C13" s="1" t="s">
        <v>571</v>
      </c>
      <c r="D13" s="6" t="s">
        <v>368</v>
      </c>
      <c r="E13" s="3">
        <v>9450</v>
      </c>
      <c r="F13" s="3">
        <v>2.7372215651742784</v>
      </c>
      <c r="G13" s="63">
        <f>+F13*E13</f>
        <v>25866.74379089693</v>
      </c>
      <c r="H13" s="3"/>
    </row>
    <row r="14" spans="1:8" ht="12.75">
      <c r="A14" s="1" t="s">
        <v>194</v>
      </c>
      <c r="B14" s="4">
        <v>36883</v>
      </c>
      <c r="C14" s="1" t="s">
        <v>430</v>
      </c>
      <c r="D14" s="6" t="s">
        <v>368</v>
      </c>
      <c r="E14" s="3">
        <v>11760</v>
      </c>
      <c r="F14" s="3">
        <v>2.7372215651742784</v>
      </c>
      <c r="G14" s="63"/>
      <c r="H14" s="3">
        <f>+E14*F14</f>
        <v>32189.725606449512</v>
      </c>
    </row>
    <row r="15" spans="1:8" ht="12.75">
      <c r="A15" s="1" t="s">
        <v>194</v>
      </c>
      <c r="B15" s="4">
        <v>36891</v>
      </c>
      <c r="C15" s="1" t="s">
        <v>428</v>
      </c>
      <c r="D15" s="6" t="s">
        <v>368</v>
      </c>
      <c r="E15" s="3">
        <v>4925</v>
      </c>
      <c r="F15" s="3">
        <v>2.7372215651742784</v>
      </c>
      <c r="G15" s="65"/>
      <c r="H15" s="12">
        <f>+F15*E15</f>
        <v>13480.81620848332</v>
      </c>
    </row>
    <row r="16" spans="2:8" ht="12.75">
      <c r="B16" s="4"/>
      <c r="C16" s="1" t="s">
        <v>363</v>
      </c>
      <c r="G16" s="3">
        <f>SUM(G12:G15)</f>
        <v>45670.54181493283</v>
      </c>
      <c r="H16" s="3">
        <f>SUM(H12:H15)</f>
        <v>45670.54181493283</v>
      </c>
    </row>
    <row r="17" ht="12.75">
      <c r="B17" s="4"/>
    </row>
    <row r="18" spans="1:8" ht="12.75">
      <c r="A18" s="1" t="s">
        <v>194</v>
      </c>
      <c r="B18" s="4">
        <v>36860</v>
      </c>
      <c r="C18" s="1" t="s">
        <v>429</v>
      </c>
      <c r="E18" s="3">
        <v>13.17</v>
      </c>
      <c r="H18" s="3">
        <f>414.15*E18</f>
        <v>5454.3555</v>
      </c>
    </row>
    <row r="19" spans="9:20" ht="12.75">
      <c r="I19" s="1" t="s">
        <v>259</v>
      </c>
      <c r="J19" s="1" t="s">
        <v>260</v>
      </c>
      <c r="K19" s="1" t="s">
        <v>261</v>
      </c>
      <c r="L19" s="1" t="s">
        <v>262</v>
      </c>
      <c r="M19" s="1" t="s">
        <v>263</v>
      </c>
      <c r="N19" s="1" t="s">
        <v>235</v>
      </c>
      <c r="O19" s="1" t="s">
        <v>264</v>
      </c>
      <c r="P19" s="1" t="s">
        <v>269</v>
      </c>
      <c r="Q19" s="3" t="s">
        <v>265</v>
      </c>
      <c r="R19" s="3" t="s">
        <v>266</v>
      </c>
      <c r="S19" s="1" t="s">
        <v>267</v>
      </c>
      <c r="T19" s="1" t="s">
        <v>268</v>
      </c>
    </row>
    <row r="20" spans="7:8" ht="12.75">
      <c r="G20" s="213" t="s">
        <v>364</v>
      </c>
      <c r="H20" s="213"/>
    </row>
    <row r="21" spans="7:8" ht="12.75">
      <c r="G21" s="214" t="s">
        <v>431</v>
      </c>
      <c r="H21" s="214"/>
    </row>
    <row r="22" spans="2:8" ht="12.75">
      <c r="B22" s="6" t="s">
        <v>125</v>
      </c>
      <c r="C22" s="1" t="s">
        <v>366</v>
      </c>
      <c r="D22" s="6" t="s">
        <v>367</v>
      </c>
      <c r="E22" s="3" t="s">
        <v>369</v>
      </c>
      <c r="F22" s="6" t="s">
        <v>370</v>
      </c>
      <c r="G22" s="9" t="s">
        <v>361</v>
      </c>
      <c r="H22" s="8" t="s">
        <v>124</v>
      </c>
    </row>
    <row r="23" spans="1:20" ht="12.75">
      <c r="A23" s="1" t="s">
        <v>196</v>
      </c>
      <c r="B23" s="4">
        <v>36526</v>
      </c>
      <c r="C23" s="1" t="s">
        <v>424</v>
      </c>
      <c r="D23" s="6" t="s">
        <v>368</v>
      </c>
      <c r="E23" s="3">
        <v>568</v>
      </c>
      <c r="F23" s="3">
        <v>2.5822844954474324</v>
      </c>
      <c r="G23" s="62">
        <f>+E23*F23</f>
        <v>1466.7375934141417</v>
      </c>
      <c r="H23" s="3"/>
      <c r="I23" s="3">
        <v>0</v>
      </c>
      <c r="J23" s="3"/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/>
      <c r="Q23" s="3">
        <v>0</v>
      </c>
      <c r="R23" s="3">
        <v>0</v>
      </c>
      <c r="S23" s="3">
        <v>0</v>
      </c>
      <c r="T23" s="3">
        <f>+G23</f>
        <v>1466.7375934141417</v>
      </c>
    </row>
    <row r="24" spans="1:20" ht="12.75">
      <c r="A24" s="1" t="s">
        <v>196</v>
      </c>
      <c r="B24" s="4">
        <v>36661</v>
      </c>
      <c r="C24" s="1" t="s">
        <v>571</v>
      </c>
      <c r="D24" s="6" t="s">
        <v>368</v>
      </c>
      <c r="E24" s="3">
        <v>1420</v>
      </c>
      <c r="F24" s="3">
        <v>2.5822844954474324</v>
      </c>
      <c r="G24" s="63">
        <f>+F24*E24</f>
        <v>3666.8439835353543</v>
      </c>
      <c r="H24" s="3"/>
      <c r="I24" s="3">
        <v>0</v>
      </c>
      <c r="J24" s="3"/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/>
      <c r="Q24" s="3">
        <v>1420</v>
      </c>
      <c r="R24" s="3">
        <v>0</v>
      </c>
      <c r="S24" s="3">
        <v>0</v>
      </c>
      <c r="T24" s="3">
        <v>0</v>
      </c>
    </row>
    <row r="25" spans="1:20" ht="12.75">
      <c r="A25" s="1" t="s">
        <v>196</v>
      </c>
      <c r="B25" s="4">
        <v>36886</v>
      </c>
      <c r="C25" s="1" t="s">
        <v>430</v>
      </c>
      <c r="D25" s="6" t="s">
        <v>368</v>
      </c>
      <c r="E25" s="3">
        <v>1560</v>
      </c>
      <c r="F25" s="3">
        <v>2.5822844954474324</v>
      </c>
      <c r="G25" s="63"/>
      <c r="H25" s="3">
        <f>+E25*F25</f>
        <v>4028.3638128979946</v>
      </c>
      <c r="I25" s="3">
        <f>+H25</f>
        <v>4028.3638128979946</v>
      </c>
      <c r="J25" s="3" t="s">
        <v>177</v>
      </c>
      <c r="K25" s="3"/>
      <c r="L25" s="3"/>
      <c r="M25" s="3"/>
      <c r="N25" s="3"/>
      <c r="O25" s="3"/>
      <c r="P25" s="3"/>
      <c r="S25" s="3"/>
      <c r="T25" s="3"/>
    </row>
    <row r="26" spans="1:20" ht="12.75">
      <c r="A26" s="1" t="s">
        <v>196</v>
      </c>
      <c r="B26" s="4">
        <v>36891</v>
      </c>
      <c r="C26" s="1" t="s">
        <v>428</v>
      </c>
      <c r="D26" s="6" t="s">
        <v>368</v>
      </c>
      <c r="E26" s="3">
        <v>428</v>
      </c>
      <c r="F26" s="3">
        <v>2.5822844954474324</v>
      </c>
      <c r="G26" s="65"/>
      <c r="H26" s="12">
        <f>+E26*F26</f>
        <v>1105.217764051501</v>
      </c>
      <c r="I26" s="3"/>
      <c r="J26" s="3"/>
      <c r="K26" s="3"/>
      <c r="L26" s="3"/>
      <c r="M26" s="3"/>
      <c r="N26" s="3"/>
      <c r="O26" s="3"/>
      <c r="P26" s="3"/>
      <c r="S26" s="3"/>
      <c r="T26" s="3">
        <f>+H26</f>
        <v>1105.217764051501</v>
      </c>
    </row>
    <row r="27" spans="3:20" ht="12.75">
      <c r="C27" s="1" t="s">
        <v>363</v>
      </c>
      <c r="G27" s="3">
        <f>SUM(G23:G26)</f>
        <v>5133.581576949496</v>
      </c>
      <c r="H27" s="3">
        <f>SUM(H23:H26)</f>
        <v>5133.581576949496</v>
      </c>
      <c r="I27" s="3"/>
      <c r="J27" s="3"/>
      <c r="K27" s="3"/>
      <c r="L27" s="3"/>
      <c r="M27" s="3"/>
      <c r="N27" s="3"/>
      <c r="O27" s="3"/>
      <c r="P27" s="3"/>
      <c r="S27" s="3"/>
      <c r="T27" s="3"/>
    </row>
    <row r="29" spans="7:8" ht="12.75">
      <c r="G29" s="213" t="s">
        <v>364</v>
      </c>
      <c r="H29" s="213"/>
    </row>
    <row r="30" spans="7:8" ht="12.75">
      <c r="G30" s="214" t="s">
        <v>432</v>
      </c>
      <c r="H30" s="214"/>
    </row>
    <row r="31" spans="2:20" ht="12.75">
      <c r="B31" s="6" t="s">
        <v>125</v>
      </c>
      <c r="C31" s="1" t="s">
        <v>366</v>
      </c>
      <c r="D31" s="6" t="s">
        <v>367</v>
      </c>
      <c r="E31" s="3" t="s">
        <v>369</v>
      </c>
      <c r="F31" s="6" t="s">
        <v>370</v>
      </c>
      <c r="G31" s="9" t="s">
        <v>361</v>
      </c>
      <c r="H31" s="8" t="s">
        <v>124</v>
      </c>
      <c r="I31" s="1" t="s">
        <v>259</v>
      </c>
      <c r="J31" s="1" t="s">
        <v>260</v>
      </c>
      <c r="K31" s="1" t="s">
        <v>261</v>
      </c>
      <c r="L31" s="1" t="s">
        <v>262</v>
      </c>
      <c r="M31" s="1" t="s">
        <v>263</v>
      </c>
      <c r="N31" s="1" t="s">
        <v>235</v>
      </c>
      <c r="O31" s="1" t="s">
        <v>264</v>
      </c>
      <c r="P31" s="1" t="s">
        <v>269</v>
      </c>
      <c r="Q31" s="3" t="s">
        <v>265</v>
      </c>
      <c r="R31" s="3" t="s">
        <v>266</v>
      </c>
      <c r="S31" s="1" t="s">
        <v>267</v>
      </c>
      <c r="T31" s="1" t="s">
        <v>268</v>
      </c>
    </row>
    <row r="32" spans="1:20" ht="12.75">
      <c r="A32" s="1" t="s">
        <v>198</v>
      </c>
      <c r="B32" s="4">
        <v>36526</v>
      </c>
      <c r="C32" s="1" t="s">
        <v>424</v>
      </c>
      <c r="D32" s="6" t="s">
        <v>368</v>
      </c>
      <c r="E32" s="3">
        <v>375</v>
      </c>
      <c r="F32" s="3">
        <v>10</v>
      </c>
      <c r="G32" s="62">
        <f>+F32*E32</f>
        <v>3750</v>
      </c>
      <c r="H32" s="3"/>
      <c r="I32" s="3">
        <v>0</v>
      </c>
      <c r="J32" s="3"/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/>
      <c r="Q32" s="3">
        <v>0</v>
      </c>
      <c r="R32" s="3">
        <v>0</v>
      </c>
      <c r="S32" s="3">
        <v>0</v>
      </c>
      <c r="T32" s="3">
        <f>+G32</f>
        <v>3750</v>
      </c>
    </row>
    <row r="33" spans="1:20" ht="12.75">
      <c r="A33" s="1" t="s">
        <v>198</v>
      </c>
      <c r="B33" s="4">
        <v>36829</v>
      </c>
      <c r="C33" s="1" t="s">
        <v>571</v>
      </c>
      <c r="D33" s="6" t="s">
        <v>368</v>
      </c>
      <c r="E33" s="3">
        <v>356</v>
      </c>
      <c r="F33" s="3">
        <v>10</v>
      </c>
      <c r="G33" s="63">
        <f>+F33*E33</f>
        <v>3560</v>
      </c>
      <c r="H33" s="3"/>
      <c r="I33" s="3">
        <v>0</v>
      </c>
      <c r="J33" s="3"/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/>
      <c r="Q33" s="3">
        <v>356</v>
      </c>
      <c r="R33" s="3">
        <v>0</v>
      </c>
      <c r="S33" s="3">
        <v>0</v>
      </c>
      <c r="T33" s="3">
        <v>0</v>
      </c>
    </row>
    <row r="34" spans="1:20" ht="12.75">
      <c r="A34" s="1" t="s">
        <v>198</v>
      </c>
      <c r="B34" s="4">
        <v>36881</v>
      </c>
      <c r="C34" s="1" t="s">
        <v>430</v>
      </c>
      <c r="D34" s="6" t="s">
        <v>368</v>
      </c>
      <c r="E34" s="3">
        <v>432</v>
      </c>
      <c r="F34" s="3">
        <v>10</v>
      </c>
      <c r="G34" s="63"/>
      <c r="H34" s="3">
        <f>+F34*E34</f>
        <v>4320</v>
      </c>
      <c r="I34" s="3">
        <f>+H34</f>
        <v>4320</v>
      </c>
      <c r="J34" s="3" t="s">
        <v>177</v>
      </c>
      <c r="K34" s="3"/>
      <c r="L34" s="3"/>
      <c r="M34" s="3"/>
      <c r="N34" s="3"/>
      <c r="O34" s="3"/>
      <c r="P34" s="3"/>
      <c r="S34" s="3"/>
      <c r="T34" s="3"/>
    </row>
    <row r="35" spans="1:20" ht="12.75">
      <c r="A35" s="1" t="s">
        <v>198</v>
      </c>
      <c r="B35" s="4">
        <v>36891</v>
      </c>
      <c r="C35" s="1" t="s">
        <v>428</v>
      </c>
      <c r="D35" s="6" t="s">
        <v>368</v>
      </c>
      <c r="E35" s="3">
        <v>299</v>
      </c>
      <c r="F35" s="3">
        <v>10</v>
      </c>
      <c r="G35" s="65"/>
      <c r="H35" s="12">
        <f>+F35*E35</f>
        <v>2990</v>
      </c>
      <c r="I35" s="3"/>
      <c r="J35" s="3"/>
      <c r="K35" s="3"/>
      <c r="L35" s="3"/>
      <c r="M35" s="3"/>
      <c r="N35" s="3"/>
      <c r="O35" s="3"/>
      <c r="P35" s="3"/>
      <c r="S35" s="3"/>
      <c r="T35" s="3">
        <f>+H35</f>
        <v>2990</v>
      </c>
    </row>
    <row r="36" spans="3:20" ht="12.75">
      <c r="C36" s="1" t="s">
        <v>363</v>
      </c>
      <c r="G36" s="3">
        <f>SUM(G32:G35)</f>
        <v>7310</v>
      </c>
      <c r="H36" s="3">
        <f>SUM(H32:H35)</f>
        <v>7310</v>
      </c>
      <c r="I36" s="3"/>
      <c r="J36" s="3"/>
      <c r="K36" s="3"/>
      <c r="L36" s="3"/>
      <c r="M36" s="3"/>
      <c r="N36" s="3"/>
      <c r="O36" s="3"/>
      <c r="P36" s="3"/>
      <c r="S36" s="3"/>
      <c r="T36" s="3"/>
    </row>
    <row r="38" spans="7:8" ht="12.75">
      <c r="G38" s="213" t="s">
        <v>364</v>
      </c>
      <c r="H38" s="213"/>
    </row>
    <row r="39" spans="7:8" ht="12.75">
      <c r="G39" s="214" t="s">
        <v>433</v>
      </c>
      <c r="H39" s="214"/>
    </row>
    <row r="40" spans="2:20" ht="12.75">
      <c r="B40" s="6" t="s">
        <v>125</v>
      </c>
      <c r="C40" s="1" t="s">
        <v>366</v>
      </c>
      <c r="D40" s="6" t="s">
        <v>367</v>
      </c>
      <c r="E40" s="3" t="s">
        <v>369</v>
      </c>
      <c r="F40" s="6" t="s">
        <v>370</v>
      </c>
      <c r="G40" s="9" t="s">
        <v>361</v>
      </c>
      <c r="H40" s="8" t="s">
        <v>124</v>
      </c>
      <c r="I40" s="1" t="s">
        <v>259</v>
      </c>
      <c r="J40" s="1" t="s">
        <v>260</v>
      </c>
      <c r="K40" s="1" t="s">
        <v>261</v>
      </c>
      <c r="L40" s="1" t="s">
        <v>262</v>
      </c>
      <c r="M40" s="1" t="s">
        <v>263</v>
      </c>
      <c r="N40" s="1" t="s">
        <v>235</v>
      </c>
      <c r="O40" s="1" t="s">
        <v>264</v>
      </c>
      <c r="P40" s="1" t="s">
        <v>269</v>
      </c>
      <c r="Q40" s="3" t="s">
        <v>265</v>
      </c>
      <c r="R40" s="3" t="s">
        <v>266</v>
      </c>
      <c r="S40" s="1" t="s">
        <v>267</v>
      </c>
      <c r="T40" s="1" t="s">
        <v>268</v>
      </c>
    </row>
    <row r="41" spans="1:20" ht="12.75">
      <c r="A41" s="1" t="s">
        <v>200</v>
      </c>
      <c r="B41" s="4">
        <v>36526</v>
      </c>
      <c r="C41" s="1" t="s">
        <v>424</v>
      </c>
      <c r="D41" s="6" t="s">
        <v>368</v>
      </c>
      <c r="E41" s="3">
        <v>604</v>
      </c>
      <c r="F41" s="3">
        <v>8.5</v>
      </c>
      <c r="G41" s="62">
        <f>+F41*E41</f>
        <v>5134</v>
      </c>
      <c r="H41" s="3"/>
      <c r="I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Q41" s="3">
        <v>0</v>
      </c>
      <c r="R41" s="3">
        <v>0</v>
      </c>
      <c r="S41" s="1">
        <v>0</v>
      </c>
      <c r="T41" s="1">
        <f>+G41</f>
        <v>5134</v>
      </c>
    </row>
    <row r="42" spans="1:20" ht="12.75">
      <c r="A42" s="1" t="s">
        <v>200</v>
      </c>
      <c r="B42" s="4">
        <v>36814</v>
      </c>
      <c r="C42" s="1" t="s">
        <v>571</v>
      </c>
      <c r="D42" s="6" t="s">
        <v>368</v>
      </c>
      <c r="E42" s="3">
        <v>1881</v>
      </c>
      <c r="F42" s="3">
        <v>8.5</v>
      </c>
      <c r="G42" s="63">
        <f>+E42*F42</f>
        <v>15988.5</v>
      </c>
      <c r="H42" s="3"/>
      <c r="I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Q42" s="3">
        <v>1881</v>
      </c>
      <c r="R42" s="3">
        <v>0</v>
      </c>
      <c r="S42" s="1">
        <v>0</v>
      </c>
      <c r="T42" s="1">
        <v>0</v>
      </c>
    </row>
    <row r="43" spans="1:20" ht="12.75">
      <c r="A43" s="1" t="s">
        <v>200</v>
      </c>
      <c r="B43" s="4">
        <v>36882</v>
      </c>
      <c r="C43" s="1" t="s">
        <v>430</v>
      </c>
      <c r="D43" s="6" t="s">
        <v>368</v>
      </c>
      <c r="E43" s="3">
        <v>2177</v>
      </c>
      <c r="F43" s="3">
        <v>8.5</v>
      </c>
      <c r="G43" s="63"/>
      <c r="H43" s="3">
        <f>+F43*E43</f>
        <v>18504.5</v>
      </c>
      <c r="I43" s="1">
        <f>+H43</f>
        <v>18504.5</v>
      </c>
      <c r="J43" s="1" t="s">
        <v>177</v>
      </c>
      <c r="T43" s="13"/>
    </row>
    <row r="44" spans="1:20" ht="12.75">
      <c r="A44" s="1" t="s">
        <v>200</v>
      </c>
      <c r="B44" s="4">
        <v>36891</v>
      </c>
      <c r="C44" s="1" t="s">
        <v>428</v>
      </c>
      <c r="D44" s="6" t="s">
        <v>368</v>
      </c>
      <c r="E44" s="3">
        <v>308</v>
      </c>
      <c r="F44" s="3">
        <v>8.5</v>
      </c>
      <c r="G44" s="65"/>
      <c r="H44" s="12">
        <f>+F44*E44</f>
        <v>2618</v>
      </c>
      <c r="T44" s="1">
        <f>+H44</f>
        <v>2618</v>
      </c>
    </row>
    <row r="45" spans="3:8" ht="12.75">
      <c r="C45" s="1" t="s">
        <v>363</v>
      </c>
      <c r="G45" s="3">
        <f>SUM(G41:G44)</f>
        <v>21122.5</v>
      </c>
      <c r="H45" s="3">
        <f>SUM(H41:H44)</f>
        <v>21122.5</v>
      </c>
    </row>
    <row r="47" spans="7:8" ht="12.75">
      <c r="G47" s="213" t="s">
        <v>364</v>
      </c>
      <c r="H47" s="213"/>
    </row>
    <row r="48" spans="7:8" ht="12.75">
      <c r="G48" s="214" t="s">
        <v>446</v>
      </c>
      <c r="H48" s="214"/>
    </row>
    <row r="49" spans="2:20" ht="12.75">
      <c r="B49" s="6" t="s">
        <v>125</v>
      </c>
      <c r="C49" s="1" t="s">
        <v>366</v>
      </c>
      <c r="D49" s="6" t="s">
        <v>367</v>
      </c>
      <c r="E49" s="3" t="s">
        <v>369</v>
      </c>
      <c r="F49" s="6" t="s">
        <v>370</v>
      </c>
      <c r="G49" s="9" t="s">
        <v>361</v>
      </c>
      <c r="H49" s="8" t="s">
        <v>124</v>
      </c>
      <c r="I49" s="1" t="s">
        <v>259</v>
      </c>
      <c r="J49" s="1" t="s">
        <v>260</v>
      </c>
      <c r="K49" s="1" t="s">
        <v>261</v>
      </c>
      <c r="L49" s="1" t="s">
        <v>262</v>
      </c>
      <c r="M49" s="1" t="s">
        <v>263</v>
      </c>
      <c r="N49" s="1" t="s">
        <v>235</v>
      </c>
      <c r="O49" s="1" t="s">
        <v>264</v>
      </c>
      <c r="P49" s="1" t="s">
        <v>269</v>
      </c>
      <c r="Q49" s="3" t="s">
        <v>265</v>
      </c>
      <c r="R49" s="3" t="s">
        <v>266</v>
      </c>
      <c r="S49" s="1" t="s">
        <v>267</v>
      </c>
      <c r="T49" s="1" t="s">
        <v>268</v>
      </c>
    </row>
    <row r="50" spans="1:20" ht="12.75">
      <c r="A50" s="1" t="s">
        <v>255</v>
      </c>
      <c r="B50" s="14">
        <v>36526</v>
      </c>
      <c r="C50" s="1" t="s">
        <v>424</v>
      </c>
      <c r="D50" s="6" t="s">
        <v>368</v>
      </c>
      <c r="E50" s="3">
        <v>0.1</v>
      </c>
      <c r="F50" s="3">
        <v>36.926668284898284</v>
      </c>
      <c r="G50" s="62">
        <f>+E50*F50</f>
        <v>3.6926668284898287</v>
      </c>
      <c r="H50" s="3"/>
      <c r="I50" s="1">
        <v>0</v>
      </c>
      <c r="K50" s="1">
        <v>0</v>
      </c>
      <c r="L50" s="1">
        <v>0</v>
      </c>
      <c r="N50" s="1">
        <v>0</v>
      </c>
      <c r="O50" s="1">
        <v>0</v>
      </c>
      <c r="P50" s="1">
        <v>0</v>
      </c>
      <c r="Q50" s="3">
        <v>0</v>
      </c>
      <c r="R50" s="3">
        <v>0</v>
      </c>
      <c r="S50" s="1">
        <v>0</v>
      </c>
      <c r="T50" s="1">
        <v>8</v>
      </c>
    </row>
    <row r="51" spans="1:20" ht="12.75">
      <c r="A51" s="1" t="s">
        <v>255</v>
      </c>
      <c r="B51" s="14">
        <v>36556</v>
      </c>
      <c r="C51" s="1" t="s">
        <v>434</v>
      </c>
      <c r="D51" s="6" t="s">
        <v>368</v>
      </c>
      <c r="E51" s="3">
        <v>815.23</v>
      </c>
      <c r="F51" s="3">
        <v>36.978313974807236</v>
      </c>
      <c r="G51" s="63">
        <f aca="true" t="shared" si="0" ref="G51:G57">+F51*E51</f>
        <v>30145.830901682104</v>
      </c>
      <c r="H51" s="3"/>
      <c r="I51" s="1">
        <v>0</v>
      </c>
      <c r="K51" s="1">
        <v>0</v>
      </c>
      <c r="L51" s="1">
        <v>0</v>
      </c>
      <c r="N51" s="1">
        <v>0</v>
      </c>
      <c r="O51" s="1">
        <v>0</v>
      </c>
      <c r="P51" s="1">
        <v>0</v>
      </c>
      <c r="Q51" s="3">
        <v>0</v>
      </c>
      <c r="R51" s="3">
        <v>0</v>
      </c>
      <c r="S51" s="1">
        <v>0</v>
      </c>
      <c r="T51" s="1">
        <v>0</v>
      </c>
    </row>
    <row r="52" spans="1:20" ht="12.75">
      <c r="A52" s="1" t="s">
        <v>255</v>
      </c>
      <c r="B52" s="14">
        <v>36584</v>
      </c>
      <c r="C52" s="1" t="s">
        <v>435</v>
      </c>
      <c r="D52" s="6" t="s">
        <v>368</v>
      </c>
      <c r="E52" s="3">
        <v>821.16</v>
      </c>
      <c r="F52" s="3">
        <v>37.08160535462513</v>
      </c>
      <c r="G52" s="63">
        <f t="shared" si="0"/>
        <v>30449.931053003973</v>
      </c>
      <c r="H52" s="3"/>
      <c r="I52" s="1">
        <v>0</v>
      </c>
      <c r="K52" s="1">
        <v>0</v>
      </c>
      <c r="L52" s="1">
        <v>0</v>
      </c>
      <c r="N52" s="1">
        <v>0</v>
      </c>
      <c r="O52" s="1">
        <v>0</v>
      </c>
      <c r="P52" s="1">
        <v>0</v>
      </c>
      <c r="Q52" s="3">
        <v>0</v>
      </c>
      <c r="R52" s="3">
        <v>0</v>
      </c>
      <c r="S52" s="1">
        <v>0</v>
      </c>
      <c r="T52" s="1">
        <v>0</v>
      </c>
    </row>
    <row r="53" spans="1:20" ht="12.75">
      <c r="A53" s="1" t="s">
        <v>255</v>
      </c>
      <c r="B53" s="14">
        <v>36616</v>
      </c>
      <c r="C53" s="1" t="s">
        <v>436</v>
      </c>
      <c r="D53" s="6" t="s">
        <v>368</v>
      </c>
      <c r="E53" s="3">
        <v>923.86</v>
      </c>
      <c r="F53" s="3">
        <v>36.87502259498933</v>
      </c>
      <c r="G53" s="63">
        <f t="shared" si="0"/>
        <v>34067.35837460685</v>
      </c>
      <c r="H53" s="3"/>
      <c r="I53" s="1">
        <v>0</v>
      </c>
      <c r="K53" s="1">
        <v>0</v>
      </c>
      <c r="L53" s="1">
        <v>0</v>
      </c>
      <c r="N53" s="1">
        <v>0</v>
      </c>
      <c r="O53" s="1">
        <v>0</v>
      </c>
      <c r="P53" s="1">
        <v>0</v>
      </c>
      <c r="Q53" s="3">
        <v>0</v>
      </c>
      <c r="R53" s="3">
        <v>0</v>
      </c>
      <c r="S53" s="1">
        <v>0</v>
      </c>
      <c r="T53" s="1">
        <v>0</v>
      </c>
    </row>
    <row r="54" spans="1:20" ht="12.75">
      <c r="A54" s="1" t="s">
        <v>255</v>
      </c>
      <c r="B54" s="14">
        <v>36646</v>
      </c>
      <c r="C54" s="1" t="s">
        <v>437</v>
      </c>
      <c r="D54" s="6" t="s">
        <v>368</v>
      </c>
      <c r="E54" s="3">
        <v>891.61</v>
      </c>
      <c r="F54" s="3">
        <v>36.926668284898284</v>
      </c>
      <c r="G54" s="63">
        <f t="shared" si="0"/>
        <v>32924.18670949816</v>
      </c>
      <c r="H54" s="3"/>
      <c r="I54" s="1">
        <v>0</v>
      </c>
      <c r="K54" s="1">
        <v>0</v>
      </c>
      <c r="L54" s="1">
        <v>0</v>
      </c>
      <c r="N54" s="1">
        <v>0</v>
      </c>
      <c r="O54" s="1">
        <v>0</v>
      </c>
      <c r="P54" s="1">
        <v>0</v>
      </c>
      <c r="Q54" s="3">
        <v>0</v>
      </c>
      <c r="R54" s="3">
        <v>0</v>
      </c>
      <c r="S54" s="1">
        <v>0</v>
      </c>
      <c r="T54" s="1">
        <v>0</v>
      </c>
    </row>
    <row r="55" spans="1:20" ht="12.75">
      <c r="A55" s="1" t="s">
        <v>255</v>
      </c>
      <c r="B55" s="14">
        <v>36677</v>
      </c>
      <c r="C55" s="1" t="s">
        <v>438</v>
      </c>
      <c r="D55" s="6" t="s">
        <v>368</v>
      </c>
      <c r="E55" s="3">
        <v>901.73</v>
      </c>
      <c r="F55" s="3">
        <v>36.978313974807236</v>
      </c>
      <c r="G55" s="63">
        <f t="shared" si="0"/>
        <v>33344.45506050293</v>
      </c>
      <c r="H55" s="3"/>
      <c r="I55" s="1">
        <v>0</v>
      </c>
      <c r="K55" s="1">
        <v>0</v>
      </c>
      <c r="L55" s="1">
        <v>0</v>
      </c>
      <c r="N55" s="1">
        <v>0</v>
      </c>
      <c r="O55" s="1">
        <v>0</v>
      </c>
      <c r="P55" s="1">
        <v>0</v>
      </c>
      <c r="Q55" s="3">
        <v>0</v>
      </c>
      <c r="R55" s="3">
        <v>0</v>
      </c>
      <c r="S55" s="1">
        <v>0</v>
      </c>
      <c r="T55" s="1">
        <v>0</v>
      </c>
    </row>
    <row r="56" spans="1:20" ht="12.75">
      <c r="A56" s="1" t="s">
        <v>255</v>
      </c>
      <c r="B56" s="14">
        <v>36707</v>
      </c>
      <c r="C56" s="1" t="s">
        <v>439</v>
      </c>
      <c r="D56" s="6" t="s">
        <v>368</v>
      </c>
      <c r="E56" s="3">
        <v>789</v>
      </c>
      <c r="F56" s="3">
        <v>37.08160535462513</v>
      </c>
      <c r="G56" s="63">
        <f t="shared" si="0"/>
        <v>29257.38662479923</v>
      </c>
      <c r="H56" s="3"/>
      <c r="I56" s="1">
        <v>0</v>
      </c>
      <c r="K56" s="1">
        <v>0</v>
      </c>
      <c r="L56" s="1">
        <v>0</v>
      </c>
      <c r="N56" s="1">
        <v>0</v>
      </c>
      <c r="O56" s="1">
        <v>0</v>
      </c>
      <c r="P56" s="1">
        <v>0</v>
      </c>
      <c r="Q56" s="3">
        <v>0</v>
      </c>
      <c r="T56" s="1">
        <v>0</v>
      </c>
    </row>
    <row r="57" spans="1:20" ht="12.75">
      <c r="A57" s="1" t="s">
        <v>255</v>
      </c>
      <c r="B57" s="14">
        <v>36738</v>
      </c>
      <c r="C57" s="1" t="s">
        <v>440</v>
      </c>
      <c r="D57" s="6" t="s">
        <v>368</v>
      </c>
      <c r="E57" s="3">
        <v>796.7</v>
      </c>
      <c r="F57" s="3">
        <v>36.771731215171435</v>
      </c>
      <c r="G57" s="63">
        <f t="shared" si="0"/>
        <v>29296.038259127083</v>
      </c>
      <c r="H57" s="3"/>
      <c r="I57" s="1">
        <v>0</v>
      </c>
      <c r="K57" s="1">
        <v>0</v>
      </c>
      <c r="L57" s="1">
        <v>0</v>
      </c>
      <c r="N57" s="1">
        <v>0</v>
      </c>
      <c r="O57" s="1">
        <v>0</v>
      </c>
      <c r="P57" s="1">
        <v>0</v>
      </c>
      <c r="Q57" s="3">
        <v>0</v>
      </c>
      <c r="R57" s="3">
        <v>0</v>
      </c>
      <c r="S57" s="1">
        <v>0</v>
      </c>
      <c r="T57" s="1">
        <v>0</v>
      </c>
    </row>
    <row r="58" spans="1:8" ht="12.75">
      <c r="A58" s="1" t="s">
        <v>255</v>
      </c>
      <c r="B58" s="14">
        <v>36769</v>
      </c>
      <c r="C58" s="1" t="s">
        <v>441</v>
      </c>
      <c r="D58" s="6" t="s">
        <v>368</v>
      </c>
      <c r="E58" s="3">
        <v>687.7339869281046</v>
      </c>
      <c r="F58" s="3">
        <v>36.82337690508039</v>
      </c>
      <c r="G58" s="63">
        <f>+F58*E58</f>
        <v>25324.687811087224</v>
      </c>
      <c r="H58" s="3"/>
    </row>
    <row r="59" spans="1:8" ht="12.75">
      <c r="A59" s="1" t="s">
        <v>255</v>
      </c>
      <c r="B59" s="14">
        <v>36799</v>
      </c>
      <c r="C59" s="1" t="s">
        <v>442</v>
      </c>
      <c r="D59" s="6" t="s">
        <v>368</v>
      </c>
      <c r="E59" s="3">
        <v>665.5490196078432</v>
      </c>
      <c r="F59" s="3">
        <v>37.02995966471618</v>
      </c>
      <c r="G59" s="63">
        <f>+F59*E59</f>
        <v>24645.253350969833</v>
      </c>
      <c r="H59" s="3"/>
    </row>
    <row r="60" spans="1:8" ht="12.75">
      <c r="A60" s="1" t="s">
        <v>255</v>
      </c>
      <c r="B60" s="14">
        <v>36830</v>
      </c>
      <c r="C60" s="1" t="s">
        <v>443</v>
      </c>
      <c r="D60" s="6" t="s">
        <v>368</v>
      </c>
      <c r="E60" s="3">
        <v>687.7339869281046</v>
      </c>
      <c r="F60" s="3">
        <v>37.02995966471618</v>
      </c>
      <c r="G60" s="63">
        <f>+F60*E60</f>
        <v>25466.76179600216</v>
      </c>
      <c r="H60" s="3"/>
    </row>
    <row r="61" spans="1:8" ht="12.75">
      <c r="A61" s="1" t="s">
        <v>255</v>
      </c>
      <c r="B61" s="14">
        <v>36860</v>
      </c>
      <c r="C61" s="1" t="s">
        <v>444</v>
      </c>
      <c r="D61" s="6" t="s">
        <v>368</v>
      </c>
      <c r="E61" s="3">
        <v>665.5490196078432</v>
      </c>
      <c r="F61" s="3">
        <v>37.08160535462513</v>
      </c>
      <c r="G61" s="63">
        <f>+F61*E61</f>
        <v>24679.626089255707</v>
      </c>
      <c r="H61" s="3"/>
    </row>
    <row r="62" spans="1:8" ht="12.75">
      <c r="A62" s="1" t="s">
        <v>255</v>
      </c>
      <c r="B62" s="14">
        <v>36891</v>
      </c>
      <c r="C62" s="1" t="s">
        <v>445</v>
      </c>
      <c r="D62" s="6" t="s">
        <v>368</v>
      </c>
      <c r="E62" s="3">
        <v>687.7339869281046</v>
      </c>
      <c r="F62" s="3">
        <v>36.978313974807236</v>
      </c>
      <c r="G62" s="63">
        <f>+F62*E62</f>
        <v>25431.24329977343</v>
      </c>
      <c r="H62" s="3"/>
    </row>
    <row r="63" spans="2:8" ht="12.75">
      <c r="B63" s="14">
        <v>36891</v>
      </c>
      <c r="C63" s="1" t="s">
        <v>428</v>
      </c>
      <c r="D63" s="6" t="s">
        <v>368</v>
      </c>
      <c r="E63" s="3">
        <v>0.1</v>
      </c>
      <c r="F63" s="3">
        <f>+F62</f>
        <v>36.978313974807236</v>
      </c>
      <c r="G63" s="63"/>
      <c r="H63" s="3">
        <f>+E63*F63</f>
        <v>3.6978313974807238</v>
      </c>
    </row>
    <row r="64" spans="2:8" ht="12.75">
      <c r="B64" s="14">
        <v>36891</v>
      </c>
      <c r="C64" s="1" t="s">
        <v>572</v>
      </c>
      <c r="E64" s="3">
        <f>SUM(E51:E63)</f>
        <v>9333.69</v>
      </c>
      <c r="F64" s="3">
        <f>+H64/E64</f>
        <v>36.96638244528581</v>
      </c>
      <c r="G64" s="65"/>
      <c r="H64" s="12">
        <f>SUM(G50:G62)-H63</f>
        <v>345032.75416573975</v>
      </c>
    </row>
    <row r="65" spans="2:8" ht="12.75">
      <c r="B65" s="4"/>
      <c r="C65" s="1" t="s">
        <v>363</v>
      </c>
      <c r="G65" s="3">
        <f>SUM(G50:G62)</f>
        <v>345036.4519971372</v>
      </c>
      <c r="H65" s="3">
        <f>SUM(H59:H64)</f>
        <v>345036.4519971372</v>
      </c>
    </row>
    <row r="66" ht="12.75">
      <c r="B66" s="4"/>
    </row>
    <row r="67" spans="7:8" ht="12.75">
      <c r="G67" s="213" t="s">
        <v>364</v>
      </c>
      <c r="H67" s="213"/>
    </row>
    <row r="68" spans="7:8" ht="12.75">
      <c r="G68" s="214" t="s">
        <v>447</v>
      </c>
      <c r="H68" s="214"/>
    </row>
    <row r="69" spans="2:8" ht="12.75">
      <c r="B69" s="6" t="s">
        <v>125</v>
      </c>
      <c r="C69" s="1" t="s">
        <v>366</v>
      </c>
      <c r="D69" s="6" t="s">
        <v>367</v>
      </c>
      <c r="E69" s="3" t="s">
        <v>369</v>
      </c>
      <c r="F69" s="6" t="s">
        <v>370</v>
      </c>
      <c r="G69" s="9" t="s">
        <v>361</v>
      </c>
      <c r="H69" s="8" t="s">
        <v>124</v>
      </c>
    </row>
    <row r="70" spans="1:20" ht="12.75">
      <c r="A70" s="1" t="s">
        <v>256</v>
      </c>
      <c r="B70" s="4">
        <v>36526</v>
      </c>
      <c r="C70" s="1" t="s">
        <v>424</v>
      </c>
      <c r="D70" s="6" t="s">
        <v>368</v>
      </c>
      <c r="E70" s="3">
        <v>2000</v>
      </c>
      <c r="F70" s="3">
        <v>0.3</v>
      </c>
      <c r="G70" s="62">
        <f>+F70*E70</f>
        <v>600</v>
      </c>
      <c r="H70" s="3"/>
      <c r="I70" s="1">
        <v>0</v>
      </c>
      <c r="K70" s="1">
        <v>0</v>
      </c>
      <c r="L70" s="1">
        <v>0</v>
      </c>
      <c r="N70" s="1">
        <v>0</v>
      </c>
      <c r="O70" s="1">
        <v>0</v>
      </c>
      <c r="P70" s="1">
        <v>0</v>
      </c>
      <c r="Q70" s="3">
        <v>0</v>
      </c>
      <c r="R70" s="3">
        <v>0</v>
      </c>
      <c r="S70" s="1">
        <v>0</v>
      </c>
      <c r="T70" s="1">
        <v>1000</v>
      </c>
    </row>
    <row r="71" spans="1:8" ht="12.75">
      <c r="A71" s="1" t="s">
        <v>256</v>
      </c>
      <c r="B71" s="4"/>
      <c r="C71" s="1" t="s">
        <v>571</v>
      </c>
      <c r="E71" s="3">
        <v>9500</v>
      </c>
      <c r="F71" s="3">
        <v>0.3</v>
      </c>
      <c r="G71" s="63">
        <f>+F71*E71</f>
        <v>2850</v>
      </c>
      <c r="H71" s="3"/>
    </row>
    <row r="72" spans="1:20" ht="12.75">
      <c r="A72" s="1" t="s">
        <v>256</v>
      </c>
      <c r="B72" s="4">
        <v>36583</v>
      </c>
      <c r="C72" s="1" t="s">
        <v>449</v>
      </c>
      <c r="D72" s="6" t="s">
        <v>368</v>
      </c>
      <c r="E72" s="3">
        <v>800</v>
      </c>
      <c r="F72" s="3">
        <v>0.3</v>
      </c>
      <c r="G72" s="63"/>
      <c r="H72" s="3">
        <f>+F72*E72</f>
        <v>240</v>
      </c>
      <c r="I72" s="1">
        <v>0</v>
      </c>
      <c r="K72" s="1">
        <v>400</v>
      </c>
      <c r="L72" s="1">
        <v>0</v>
      </c>
      <c r="M72" s="1" t="s">
        <v>198</v>
      </c>
      <c r="N72" s="1">
        <v>0</v>
      </c>
      <c r="O72" s="1">
        <v>0</v>
      </c>
      <c r="P72" s="1">
        <v>0</v>
      </c>
      <c r="Q72" s="3">
        <v>0</v>
      </c>
      <c r="R72" s="3">
        <v>0</v>
      </c>
      <c r="S72" s="1">
        <v>0</v>
      </c>
      <c r="T72" s="1">
        <v>0</v>
      </c>
    </row>
    <row r="73" spans="1:20" ht="12.75">
      <c r="A73" s="1" t="s">
        <v>256</v>
      </c>
      <c r="B73" s="4">
        <v>36587</v>
      </c>
      <c r="C73" s="1" t="s">
        <v>448</v>
      </c>
      <c r="D73" s="6" t="s">
        <v>368</v>
      </c>
      <c r="E73" s="3">
        <v>5500</v>
      </c>
      <c r="F73" s="3">
        <v>0.3</v>
      </c>
      <c r="G73" s="63"/>
      <c r="H73" s="3">
        <f>+F73*E73</f>
        <v>1650</v>
      </c>
      <c r="I73" s="1">
        <v>0</v>
      </c>
      <c r="K73" s="1">
        <v>2750</v>
      </c>
      <c r="L73" s="1">
        <v>0</v>
      </c>
      <c r="M73" s="1" t="s">
        <v>200</v>
      </c>
      <c r="N73" s="1">
        <v>0</v>
      </c>
      <c r="O73" s="1">
        <v>0</v>
      </c>
      <c r="P73" s="1">
        <v>0</v>
      </c>
      <c r="Q73" s="3">
        <v>0</v>
      </c>
      <c r="T73" s="1">
        <v>0</v>
      </c>
    </row>
    <row r="74" spans="1:20" ht="12.75">
      <c r="A74" s="1" t="s">
        <v>256</v>
      </c>
      <c r="B74" s="4">
        <v>36600</v>
      </c>
      <c r="C74" s="1" t="s">
        <v>450</v>
      </c>
      <c r="D74" s="6" t="s">
        <v>368</v>
      </c>
      <c r="E74" s="3">
        <v>4000</v>
      </c>
      <c r="F74" s="3">
        <v>0.3</v>
      </c>
      <c r="G74" s="63"/>
      <c r="H74" s="3">
        <f>+F74*E74</f>
        <v>1200</v>
      </c>
      <c r="I74" s="1">
        <v>0</v>
      </c>
      <c r="K74" s="1">
        <v>2000</v>
      </c>
      <c r="L74" s="1">
        <v>0</v>
      </c>
      <c r="M74" s="1" t="s">
        <v>194</v>
      </c>
      <c r="N74" s="1">
        <v>0</v>
      </c>
      <c r="O74" s="1">
        <v>0</v>
      </c>
      <c r="P74" s="1">
        <v>0</v>
      </c>
      <c r="Q74" s="3">
        <v>0</v>
      </c>
      <c r="T74" s="1">
        <v>0</v>
      </c>
    </row>
    <row r="75" spans="1:20" ht="12.75">
      <c r="A75" s="1" t="s">
        <v>256</v>
      </c>
      <c r="B75" s="4">
        <v>36891</v>
      </c>
      <c r="C75" s="1" t="s">
        <v>428</v>
      </c>
      <c r="D75" s="6" t="s">
        <v>368</v>
      </c>
      <c r="E75" s="3">
        <v>1200</v>
      </c>
      <c r="F75" s="3">
        <v>0.3</v>
      </c>
      <c r="G75" s="65"/>
      <c r="H75" s="12">
        <f>+F75*E75</f>
        <v>360</v>
      </c>
      <c r="I75" s="1">
        <v>0</v>
      </c>
      <c r="K75" s="1">
        <v>0</v>
      </c>
      <c r="L75" s="1">
        <v>0</v>
      </c>
      <c r="N75" s="1">
        <v>0</v>
      </c>
      <c r="O75" s="1">
        <v>0</v>
      </c>
      <c r="P75" s="1">
        <v>0</v>
      </c>
      <c r="Q75" s="3">
        <v>0</v>
      </c>
      <c r="T75" s="1">
        <v>840</v>
      </c>
    </row>
    <row r="76" spans="3:8" ht="12.75">
      <c r="C76" s="1" t="s">
        <v>363</v>
      </c>
      <c r="G76" s="3">
        <f>SUM(G70:G74)</f>
        <v>3450</v>
      </c>
      <c r="H76" s="3">
        <f>SUM(H72:H75)</f>
        <v>3450</v>
      </c>
    </row>
  </sheetData>
  <mergeCells count="14">
    <mergeCell ref="G67:H67"/>
    <mergeCell ref="G68:H68"/>
    <mergeCell ref="G38:H38"/>
    <mergeCell ref="G39:H39"/>
    <mergeCell ref="G47:H47"/>
    <mergeCell ref="G48:H48"/>
    <mergeCell ref="G20:H20"/>
    <mergeCell ref="G21:H21"/>
    <mergeCell ref="G29:H29"/>
    <mergeCell ref="G30:H30"/>
    <mergeCell ref="G1:H1"/>
    <mergeCell ref="G2:H2"/>
    <mergeCell ref="G9:H9"/>
    <mergeCell ref="G10:H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21">
    <pageSetUpPr fitToPage="1"/>
  </sheetPr>
  <dimension ref="A1:I206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1" customWidth="1"/>
    <col min="2" max="2" width="10.140625" style="1" bestFit="1" customWidth="1"/>
    <col min="3" max="3" width="28.421875" style="1" customWidth="1"/>
    <col min="4" max="4" width="3.8515625" style="1" customWidth="1"/>
    <col min="5" max="5" width="9.7109375" style="3" customWidth="1"/>
    <col min="6" max="6" width="8.7109375" style="1" customWidth="1"/>
    <col min="7" max="7" width="9.28125" style="1" customWidth="1"/>
    <col min="8" max="8" width="9.57421875" style="0" bestFit="1" customWidth="1"/>
  </cols>
  <sheetData>
    <row r="1" spans="7:8" ht="12.75">
      <c r="G1" s="213" t="s">
        <v>364</v>
      </c>
      <c r="H1" s="213"/>
    </row>
    <row r="2" spans="7:8" ht="12.75">
      <c r="G2" s="214" t="s">
        <v>365</v>
      </c>
      <c r="H2" s="214"/>
    </row>
    <row r="3" spans="1:8" ht="12.75">
      <c r="A3" s="1" t="s">
        <v>245</v>
      </c>
      <c r="B3" s="6" t="s">
        <v>125</v>
      </c>
      <c r="C3" s="1" t="s">
        <v>366</v>
      </c>
      <c r="D3" s="1" t="s">
        <v>367</v>
      </c>
      <c r="E3" s="3" t="s">
        <v>369</v>
      </c>
      <c r="F3" s="6" t="s">
        <v>370</v>
      </c>
      <c r="G3" s="9" t="s">
        <v>361</v>
      </c>
      <c r="H3" s="8" t="s">
        <v>124</v>
      </c>
    </row>
    <row r="4" spans="1:8" ht="12.75">
      <c r="A4" s="1" t="s">
        <v>313</v>
      </c>
      <c r="B4" s="4">
        <v>36526</v>
      </c>
      <c r="C4" s="1" t="s">
        <v>358</v>
      </c>
      <c r="D4" s="6" t="s">
        <v>368</v>
      </c>
      <c r="E4" s="3">
        <v>15.342857142857142</v>
      </c>
      <c r="F4" s="3">
        <v>55</v>
      </c>
      <c r="G4" s="63">
        <f>+F4*E4</f>
        <v>843.8571428571428</v>
      </c>
      <c r="H4" s="3"/>
    </row>
    <row r="5" spans="1:8" ht="12.75">
      <c r="A5" s="1" t="s">
        <v>313</v>
      </c>
      <c r="B5" s="4">
        <v>36564</v>
      </c>
      <c r="C5" s="1" t="s">
        <v>359</v>
      </c>
      <c r="D5" s="6" t="s">
        <v>368</v>
      </c>
      <c r="E5" s="3">
        <v>25.2</v>
      </c>
      <c r="F5" s="3">
        <v>55</v>
      </c>
      <c r="G5" s="63">
        <f aca="true" t="shared" si="0" ref="G5:G10">+F5*E5</f>
        <v>1386</v>
      </c>
      <c r="H5" s="3"/>
    </row>
    <row r="6" spans="1:8" ht="12.75">
      <c r="A6" s="1" t="s">
        <v>313</v>
      </c>
      <c r="B6" s="4">
        <v>36631</v>
      </c>
      <c r="C6" s="1" t="s">
        <v>359</v>
      </c>
      <c r="D6" s="6" t="s">
        <v>368</v>
      </c>
      <c r="E6" s="3">
        <v>25.2</v>
      </c>
      <c r="F6" s="3">
        <v>56.7</v>
      </c>
      <c r="G6" s="63">
        <f t="shared" si="0"/>
        <v>1428.84</v>
      </c>
      <c r="H6" s="3"/>
    </row>
    <row r="7" spans="1:8" ht="12.75">
      <c r="A7" s="1" t="s">
        <v>313</v>
      </c>
      <c r="B7" s="4">
        <v>36683</v>
      </c>
      <c r="C7" s="1" t="s">
        <v>359</v>
      </c>
      <c r="D7" s="6" t="s">
        <v>368</v>
      </c>
      <c r="E7" s="3">
        <v>14.6</v>
      </c>
      <c r="F7" s="3">
        <v>56.45</v>
      </c>
      <c r="G7" s="63">
        <f t="shared" si="0"/>
        <v>824.1700000000001</v>
      </c>
      <c r="H7" s="3"/>
    </row>
    <row r="8" spans="1:8" ht="12.75">
      <c r="A8" s="1" t="s">
        <v>313</v>
      </c>
      <c r="B8" s="4">
        <v>36719</v>
      </c>
      <c r="C8" s="1" t="s">
        <v>359</v>
      </c>
      <c r="D8" s="6" t="s">
        <v>368</v>
      </c>
      <c r="E8" s="3">
        <v>25</v>
      </c>
      <c r="F8" s="3">
        <v>57.7</v>
      </c>
      <c r="G8" s="63">
        <f t="shared" si="0"/>
        <v>1442.5</v>
      </c>
      <c r="H8" s="3"/>
    </row>
    <row r="9" spans="1:8" ht="12.75">
      <c r="A9" s="1" t="s">
        <v>313</v>
      </c>
      <c r="B9" s="4">
        <v>36772</v>
      </c>
      <c r="C9" s="1" t="s">
        <v>359</v>
      </c>
      <c r="D9" s="6" t="s">
        <v>368</v>
      </c>
      <c r="E9" s="3">
        <v>25</v>
      </c>
      <c r="F9" s="3">
        <v>57.3</v>
      </c>
      <c r="G9" s="63">
        <f t="shared" si="0"/>
        <v>1432.5</v>
      </c>
      <c r="H9" s="3"/>
    </row>
    <row r="10" spans="1:8" ht="12.75">
      <c r="A10" s="1" t="s">
        <v>313</v>
      </c>
      <c r="B10" s="4">
        <v>36851</v>
      </c>
      <c r="C10" s="1" t="s">
        <v>359</v>
      </c>
      <c r="D10" s="6" t="s">
        <v>368</v>
      </c>
      <c r="E10" s="3">
        <v>15</v>
      </c>
      <c r="F10" s="3">
        <v>55</v>
      </c>
      <c r="G10" s="63">
        <f t="shared" si="0"/>
        <v>825</v>
      </c>
      <c r="H10" s="3"/>
    </row>
    <row r="11" spans="1:8" ht="12.75">
      <c r="A11" s="1" t="s">
        <v>313</v>
      </c>
      <c r="B11" s="4">
        <v>36890</v>
      </c>
      <c r="C11" s="1" t="s">
        <v>362</v>
      </c>
      <c r="D11" s="6" t="s">
        <v>368</v>
      </c>
      <c r="E11" s="3">
        <f>SUM(E4:E10)-E12</f>
        <v>137.84285714285716</v>
      </c>
      <c r="F11" s="3">
        <f>+H11/E11</f>
        <v>56.37119908798839</v>
      </c>
      <c r="G11" s="63"/>
      <c r="H11" s="64">
        <f>SUM(G3:G10,-H12)</f>
        <v>7770.367142857142</v>
      </c>
    </row>
    <row r="12" spans="1:8" ht="12.75">
      <c r="A12" s="1" t="s">
        <v>313</v>
      </c>
      <c r="B12" s="4">
        <v>36891</v>
      </c>
      <c r="C12" s="1" t="s">
        <v>360</v>
      </c>
      <c r="D12" s="6" t="s">
        <v>368</v>
      </c>
      <c r="E12" s="3">
        <v>7.5</v>
      </c>
      <c r="F12" s="3">
        <v>55</v>
      </c>
      <c r="G12" s="65"/>
      <c r="H12" s="12">
        <f>+E12*F12</f>
        <v>412.5</v>
      </c>
    </row>
    <row r="13" spans="2:8" ht="12.75">
      <c r="B13" s="4"/>
      <c r="C13" s="1" t="s">
        <v>363</v>
      </c>
      <c r="E13" s="3">
        <f>SUM(E5:E10)</f>
        <v>130</v>
      </c>
      <c r="G13" s="63">
        <f>SUM(G4:G12)</f>
        <v>8182.867142857142</v>
      </c>
      <c r="H13" s="3">
        <f>SUM(H4:H12)</f>
        <v>8182.867142857142</v>
      </c>
    </row>
    <row r="14" spans="2:8" ht="12.75">
      <c r="B14" s="4"/>
      <c r="H14" s="1"/>
    </row>
    <row r="15" spans="7:8" ht="12.75">
      <c r="G15" s="213" t="s">
        <v>364</v>
      </c>
      <c r="H15" s="213"/>
    </row>
    <row r="16" spans="7:8" ht="12.75">
      <c r="G16" s="214" t="s">
        <v>371</v>
      </c>
      <c r="H16" s="214"/>
    </row>
    <row r="17" spans="1:8" ht="12.75">
      <c r="A17" s="1" t="s">
        <v>245</v>
      </c>
      <c r="B17" s="6" t="s">
        <v>125</v>
      </c>
      <c r="C17" s="1" t="s">
        <v>366</v>
      </c>
      <c r="D17" s="1" t="s">
        <v>367</v>
      </c>
      <c r="E17" s="3" t="s">
        <v>369</v>
      </c>
      <c r="F17" s="6" t="s">
        <v>370</v>
      </c>
      <c r="G17" s="9" t="s">
        <v>361</v>
      </c>
      <c r="H17" s="8" t="s">
        <v>124</v>
      </c>
    </row>
    <row r="18" spans="1:8" ht="12.75">
      <c r="A18" s="1" t="s">
        <v>325</v>
      </c>
      <c r="B18" s="4">
        <v>36526</v>
      </c>
      <c r="C18" s="1" t="s">
        <v>372</v>
      </c>
      <c r="E18" s="3">
        <v>0</v>
      </c>
      <c r="F18" s="1">
        <v>0</v>
      </c>
      <c r="G18" s="62">
        <v>89.86350044157065</v>
      </c>
      <c r="H18" s="1"/>
    </row>
    <row r="19" spans="1:8" ht="12.75">
      <c r="A19" s="1" t="s">
        <v>325</v>
      </c>
      <c r="B19" s="4">
        <v>36645</v>
      </c>
      <c r="C19" s="1" t="s">
        <v>326</v>
      </c>
      <c r="D19" s="1" t="s">
        <v>373</v>
      </c>
      <c r="E19" s="3">
        <v>20</v>
      </c>
      <c r="F19" s="3">
        <v>3.9</v>
      </c>
      <c r="G19" s="63">
        <f>+F19*E19</f>
        <v>78</v>
      </c>
      <c r="H19" s="1"/>
    </row>
    <row r="20" spans="1:8" ht="12.75">
      <c r="A20" s="1" t="s">
        <v>325</v>
      </c>
      <c r="B20" s="4">
        <v>36645</v>
      </c>
      <c r="C20" s="1" t="s">
        <v>327</v>
      </c>
      <c r="D20" s="1" t="s">
        <v>373</v>
      </c>
      <c r="E20" s="3">
        <v>20</v>
      </c>
      <c r="F20" s="3">
        <v>8.34</v>
      </c>
      <c r="G20" s="63">
        <f aca="true" t="shared" si="1" ref="G20:G26">+F20*E20</f>
        <v>166.8</v>
      </c>
      <c r="H20" s="1"/>
    </row>
    <row r="21" spans="1:8" ht="12.75">
      <c r="A21" s="1" t="s">
        <v>325</v>
      </c>
      <c r="B21" s="4">
        <v>36656</v>
      </c>
      <c r="C21" s="1" t="s">
        <v>328</v>
      </c>
      <c r="D21" s="1" t="s">
        <v>373</v>
      </c>
      <c r="E21" s="3">
        <v>50</v>
      </c>
      <c r="F21" s="3">
        <v>12.01</v>
      </c>
      <c r="G21" s="63">
        <f t="shared" si="1"/>
        <v>600.5</v>
      </c>
      <c r="H21" s="1"/>
    </row>
    <row r="22" spans="1:8" ht="12.75">
      <c r="A22" s="1" t="s">
        <v>325</v>
      </c>
      <c r="B22" s="4">
        <v>36725</v>
      </c>
      <c r="C22" s="1" t="s">
        <v>329</v>
      </c>
      <c r="D22" s="1" t="s">
        <v>373</v>
      </c>
      <c r="E22" s="3">
        <v>60</v>
      </c>
      <c r="F22" s="3">
        <v>3.48</v>
      </c>
      <c r="G22" s="63">
        <f t="shared" si="1"/>
        <v>208.8</v>
      </c>
      <c r="H22" s="1"/>
    </row>
    <row r="23" spans="1:8" ht="12.75">
      <c r="A23" s="1" t="s">
        <v>325</v>
      </c>
      <c r="B23" s="4">
        <v>36725</v>
      </c>
      <c r="C23" s="1" t="s">
        <v>330</v>
      </c>
      <c r="D23" s="1" t="s">
        <v>373</v>
      </c>
      <c r="E23" s="3">
        <v>60</v>
      </c>
      <c r="F23" s="3">
        <v>2.8</v>
      </c>
      <c r="G23" s="63">
        <f t="shared" si="1"/>
        <v>168</v>
      </c>
      <c r="H23" s="1"/>
    </row>
    <row r="24" spans="1:8" ht="12.75">
      <c r="A24" s="1" t="s">
        <v>325</v>
      </c>
      <c r="B24" s="4">
        <v>36725</v>
      </c>
      <c r="C24" s="1" t="s">
        <v>331</v>
      </c>
      <c r="D24" s="1" t="s">
        <v>373</v>
      </c>
      <c r="E24" s="3">
        <v>25</v>
      </c>
      <c r="F24" s="3">
        <v>3.48</v>
      </c>
      <c r="G24" s="63">
        <f t="shared" si="1"/>
        <v>87</v>
      </c>
      <c r="H24" s="1"/>
    </row>
    <row r="25" spans="1:8" ht="12.75">
      <c r="A25" s="1" t="s">
        <v>325</v>
      </c>
      <c r="B25" s="4">
        <v>36796</v>
      </c>
      <c r="C25" s="1" t="s">
        <v>332</v>
      </c>
      <c r="D25" s="1" t="s">
        <v>373</v>
      </c>
      <c r="E25" s="3">
        <v>45</v>
      </c>
      <c r="F25" s="3">
        <v>7.56</v>
      </c>
      <c r="G25" s="63">
        <f t="shared" si="1"/>
        <v>340.2</v>
      </c>
      <c r="H25" s="1"/>
    </row>
    <row r="26" spans="1:8" ht="12.75">
      <c r="A26" s="1" t="s">
        <v>325</v>
      </c>
      <c r="B26" s="4">
        <v>36824</v>
      </c>
      <c r="C26" s="1" t="s">
        <v>333</v>
      </c>
      <c r="D26" s="1" t="s">
        <v>373</v>
      </c>
      <c r="E26" s="3">
        <v>28</v>
      </c>
      <c r="F26" s="3">
        <v>6.25</v>
      </c>
      <c r="G26" s="63">
        <f t="shared" si="1"/>
        <v>175</v>
      </c>
      <c r="H26" s="1"/>
    </row>
    <row r="27" spans="1:8" ht="12.75">
      <c r="A27" s="1" t="s">
        <v>325</v>
      </c>
      <c r="B27" s="4">
        <v>36890</v>
      </c>
      <c r="C27" s="1" t="s">
        <v>374</v>
      </c>
      <c r="D27" s="1" t="s">
        <v>373</v>
      </c>
      <c r="E27" s="3">
        <v>0</v>
      </c>
      <c r="F27" s="1">
        <v>0</v>
      </c>
      <c r="G27" s="10"/>
      <c r="H27" s="3">
        <f>SUM(G18:G26)-H28</f>
        <v>1682.1635004415707</v>
      </c>
    </row>
    <row r="28" spans="1:8" ht="12.75">
      <c r="A28" s="1" t="s">
        <v>325</v>
      </c>
      <c r="B28" s="4">
        <v>36891</v>
      </c>
      <c r="C28" s="1" t="s">
        <v>375</v>
      </c>
      <c r="D28" s="1" t="s">
        <v>373</v>
      </c>
      <c r="E28" s="3">
        <v>50</v>
      </c>
      <c r="F28" s="3">
        <v>4.64</v>
      </c>
      <c r="G28" s="11"/>
      <c r="H28" s="12">
        <f>+E28*F28</f>
        <v>231.99999999999997</v>
      </c>
    </row>
    <row r="29" spans="2:8" ht="12.75">
      <c r="B29" s="4"/>
      <c r="C29" s="1" t="s">
        <v>363</v>
      </c>
      <c r="G29" s="63">
        <f>SUM(G18:G28)</f>
        <v>1914.1635004415707</v>
      </c>
      <c r="H29" s="3">
        <f>SUM(H18:H28)</f>
        <v>1914.1635004415707</v>
      </c>
    </row>
    <row r="30" spans="2:8" ht="12.75">
      <c r="B30" s="4"/>
      <c r="G30" s="3"/>
      <c r="H30" s="1"/>
    </row>
    <row r="31" spans="2:8" ht="12.75">
      <c r="B31" s="4"/>
      <c r="F31" s="3"/>
      <c r="H31" s="1"/>
    </row>
    <row r="32" spans="7:9" ht="12.75">
      <c r="G32" s="213" t="s">
        <v>364</v>
      </c>
      <c r="H32" s="213"/>
      <c r="I32" s="7" t="s">
        <v>380</v>
      </c>
    </row>
    <row r="33" spans="7:9" ht="12.75">
      <c r="G33" s="214" t="s">
        <v>376</v>
      </c>
      <c r="H33" s="214"/>
      <c r="I33" s="7" t="s">
        <v>381</v>
      </c>
    </row>
    <row r="34" spans="1:8" ht="12.75">
      <c r="A34" s="1" t="s">
        <v>245</v>
      </c>
      <c r="B34" s="6" t="s">
        <v>125</v>
      </c>
      <c r="C34" s="1" t="s">
        <v>366</v>
      </c>
      <c r="D34" s="1" t="s">
        <v>367</v>
      </c>
      <c r="E34" s="3" t="s">
        <v>369</v>
      </c>
      <c r="F34" s="6" t="s">
        <v>370</v>
      </c>
      <c r="G34" s="9" t="s">
        <v>361</v>
      </c>
      <c r="H34" s="8" t="s">
        <v>124</v>
      </c>
    </row>
    <row r="35" spans="1:7" ht="12.75">
      <c r="A35" s="1" t="s">
        <v>314</v>
      </c>
      <c r="B35" s="4">
        <v>36556</v>
      </c>
      <c r="C35" s="1" t="s">
        <v>377</v>
      </c>
      <c r="D35" s="6" t="s">
        <v>368</v>
      </c>
      <c r="E35" s="3">
        <v>139</v>
      </c>
      <c r="F35" s="3">
        <v>16.43</v>
      </c>
      <c r="G35" s="63">
        <f>+F35*E35</f>
        <v>2283.77</v>
      </c>
    </row>
    <row r="36" spans="1:7" ht="12.75">
      <c r="A36" s="1" t="s">
        <v>314</v>
      </c>
      <c r="B36" s="4">
        <v>36705</v>
      </c>
      <c r="C36" s="1" t="s">
        <v>378</v>
      </c>
      <c r="D36" s="6" t="s">
        <v>368</v>
      </c>
      <c r="E36" s="3">
        <v>54</v>
      </c>
      <c r="F36" s="3">
        <v>20.45</v>
      </c>
      <c r="G36" s="63">
        <f>+F36*E36</f>
        <v>1104.3</v>
      </c>
    </row>
    <row r="37" spans="1:9" ht="12.75">
      <c r="A37" s="1" t="s">
        <v>314</v>
      </c>
      <c r="B37" s="4">
        <v>36707</v>
      </c>
      <c r="C37" s="1" t="s">
        <v>379</v>
      </c>
      <c r="D37" s="6" t="s">
        <v>368</v>
      </c>
      <c r="E37" s="3">
        <v>38.18181818181819</v>
      </c>
      <c r="F37" s="3">
        <v>20.45</v>
      </c>
      <c r="G37" s="10"/>
      <c r="H37" s="3">
        <f>+E37*F37</f>
        <v>780.8181818181819</v>
      </c>
      <c r="I37" s="6" t="s">
        <v>194</v>
      </c>
    </row>
    <row r="38" spans="1:9" ht="12.75">
      <c r="A38" s="1" t="s">
        <v>314</v>
      </c>
      <c r="B38" s="4">
        <v>36707</v>
      </c>
      <c r="C38" s="1" t="s">
        <v>382</v>
      </c>
      <c r="D38" s="6" t="s">
        <v>368</v>
      </c>
      <c r="E38" s="3">
        <v>63.49206349206349</v>
      </c>
      <c r="F38" s="3">
        <v>16.43</v>
      </c>
      <c r="G38" s="10"/>
      <c r="H38" s="3">
        <f>+E38*F38</f>
        <v>1043.1746031746031</v>
      </c>
      <c r="I38" s="6" t="s">
        <v>194</v>
      </c>
    </row>
    <row r="39" spans="1:9" ht="12.75">
      <c r="A39" s="1" t="s">
        <v>314</v>
      </c>
      <c r="B39" s="4">
        <v>36814</v>
      </c>
      <c r="C39" s="1" t="s">
        <v>566</v>
      </c>
      <c r="D39" s="6" t="s">
        <v>368</v>
      </c>
      <c r="E39" s="3">
        <f>+(E35-E38)/18*3</f>
        <v>12.584656084656086</v>
      </c>
      <c r="F39" s="3">
        <v>16.43</v>
      </c>
      <c r="G39" s="10"/>
      <c r="H39" s="3">
        <f>+E39*F39</f>
        <v>206.76589947089948</v>
      </c>
      <c r="I39" s="6" t="s">
        <v>198</v>
      </c>
    </row>
    <row r="40" spans="1:9" ht="12.75">
      <c r="A40" s="1" t="s">
        <v>314</v>
      </c>
      <c r="B40" s="4">
        <v>36859</v>
      </c>
      <c r="C40" s="1" t="s">
        <v>565</v>
      </c>
      <c r="D40" s="6" t="s">
        <v>368</v>
      </c>
      <c r="E40" s="3">
        <f>+E35-E38-E39</f>
        <v>62.92328042328042</v>
      </c>
      <c r="F40" s="3">
        <v>16.43</v>
      </c>
      <c r="G40" s="10"/>
      <c r="H40" s="3">
        <f>+E40*F40</f>
        <v>1033.8294973544973</v>
      </c>
      <c r="I40" s="6" t="s">
        <v>200</v>
      </c>
    </row>
    <row r="41" spans="1:9" ht="12.75">
      <c r="A41" s="1" t="s">
        <v>314</v>
      </c>
      <c r="B41" s="4">
        <v>36860</v>
      </c>
      <c r="C41" s="1" t="s">
        <v>564</v>
      </c>
      <c r="D41" s="6" t="s">
        <v>368</v>
      </c>
      <c r="E41" s="3">
        <f>+E36-E37</f>
        <v>15.818181818181813</v>
      </c>
      <c r="F41" s="3">
        <v>20.45</v>
      </c>
      <c r="G41" s="11"/>
      <c r="H41" s="12">
        <f>+E41*F41</f>
        <v>323.4818181818181</v>
      </c>
      <c r="I41" s="6" t="s">
        <v>196</v>
      </c>
    </row>
    <row r="42" spans="2:8" ht="12.75">
      <c r="B42" s="4"/>
      <c r="C42" s="1" t="s">
        <v>363</v>
      </c>
      <c r="G42" s="63">
        <f>SUM(G35:G41)</f>
        <v>3388.0699999999997</v>
      </c>
      <c r="H42" s="3">
        <f>SUM(H35:H41)</f>
        <v>3388.0699999999997</v>
      </c>
    </row>
    <row r="43" spans="2:8" ht="12.75">
      <c r="B43" s="4"/>
      <c r="C43" s="1" t="s">
        <v>567</v>
      </c>
      <c r="H43" s="3">
        <f>+H42-H41</f>
        <v>3064.5881818181815</v>
      </c>
    </row>
    <row r="44" ht="12.75">
      <c r="B44" s="4"/>
    </row>
    <row r="45" ht="12.75">
      <c r="B45" s="4"/>
    </row>
    <row r="46" spans="7:9" ht="12.75">
      <c r="G46" s="213" t="s">
        <v>364</v>
      </c>
      <c r="H46" s="213"/>
      <c r="I46" s="7" t="s">
        <v>380</v>
      </c>
    </row>
    <row r="47" spans="7:9" ht="12.75">
      <c r="G47" s="214" t="s">
        <v>383</v>
      </c>
      <c r="H47" s="214"/>
      <c r="I47" s="7" t="s">
        <v>381</v>
      </c>
    </row>
    <row r="48" spans="1:8" ht="12.75">
      <c r="A48" s="1" t="s">
        <v>245</v>
      </c>
      <c r="B48" s="6" t="s">
        <v>125</v>
      </c>
      <c r="C48" s="1" t="s">
        <v>366</v>
      </c>
      <c r="D48" s="1" t="s">
        <v>367</v>
      </c>
      <c r="E48" s="3" t="s">
        <v>369</v>
      </c>
      <c r="F48" s="6" t="s">
        <v>370</v>
      </c>
      <c r="G48" s="9" t="s">
        <v>361</v>
      </c>
      <c r="H48" s="8" t="s">
        <v>124</v>
      </c>
    </row>
    <row r="49" spans="1:7" ht="12.75">
      <c r="A49" s="1" t="s">
        <v>315</v>
      </c>
      <c r="B49" s="4">
        <v>36646</v>
      </c>
      <c r="C49" s="1" t="s">
        <v>316</v>
      </c>
      <c r="D49" s="1" t="s">
        <v>293</v>
      </c>
      <c r="E49" s="3">
        <v>100</v>
      </c>
      <c r="F49" s="3">
        <v>4.81</v>
      </c>
      <c r="G49" s="62">
        <f>+E49*F49</f>
        <v>480.99999999999994</v>
      </c>
    </row>
    <row r="50" spans="1:7" ht="12.75">
      <c r="A50" s="1" t="s">
        <v>315</v>
      </c>
      <c r="B50" s="4">
        <v>36646</v>
      </c>
      <c r="C50" s="1" t="s">
        <v>317</v>
      </c>
      <c r="D50" s="1" t="s">
        <v>293</v>
      </c>
      <c r="E50" s="3">
        <v>35</v>
      </c>
      <c r="F50" s="3">
        <v>8.83</v>
      </c>
      <c r="G50" s="63">
        <f>+E50*F50</f>
        <v>309.05</v>
      </c>
    </row>
    <row r="51" spans="1:7" ht="12.75">
      <c r="A51" s="1" t="s">
        <v>315</v>
      </c>
      <c r="B51" s="4">
        <v>36677</v>
      </c>
      <c r="C51" s="1" t="s">
        <v>318</v>
      </c>
      <c r="D51" s="1" t="s">
        <v>293</v>
      </c>
      <c r="E51" s="3">
        <v>3</v>
      </c>
      <c r="F51" s="3">
        <v>77.03</v>
      </c>
      <c r="G51" s="63">
        <f>+E51*F51</f>
        <v>231.09</v>
      </c>
    </row>
    <row r="52" spans="1:7" ht="12.75">
      <c r="A52" s="1" t="s">
        <v>315</v>
      </c>
      <c r="B52" s="4">
        <v>36705</v>
      </c>
      <c r="C52" s="1" t="s">
        <v>316</v>
      </c>
      <c r="D52" s="1" t="s">
        <v>293</v>
      </c>
      <c r="E52" s="3">
        <v>10</v>
      </c>
      <c r="F52" s="3">
        <v>4.81</v>
      </c>
      <c r="G52" s="63">
        <f>+E52*F52</f>
        <v>48.099999999999994</v>
      </c>
    </row>
    <row r="53" spans="1:7" ht="12.75">
      <c r="A53" s="1" t="s">
        <v>315</v>
      </c>
      <c r="B53" s="4">
        <v>36705</v>
      </c>
      <c r="C53" s="1" t="s">
        <v>319</v>
      </c>
      <c r="D53" s="1" t="s">
        <v>293</v>
      </c>
      <c r="E53" s="3">
        <v>2</v>
      </c>
      <c r="F53" s="3">
        <v>14.72</v>
      </c>
      <c r="G53" s="63">
        <f>+E53*F53</f>
        <v>29.44</v>
      </c>
    </row>
    <row r="54" spans="1:9" ht="12.75">
      <c r="A54" s="1" t="s">
        <v>315</v>
      </c>
      <c r="B54" s="4">
        <v>36707</v>
      </c>
      <c r="C54" s="1" t="s">
        <v>384</v>
      </c>
      <c r="E54" s="1"/>
      <c r="G54" s="63"/>
      <c r="H54" s="3">
        <v>970.4741590790541</v>
      </c>
      <c r="I54" s="6" t="s">
        <v>194</v>
      </c>
    </row>
    <row r="55" spans="1:9" ht="12.75">
      <c r="A55" s="1" t="s">
        <v>315</v>
      </c>
      <c r="B55" s="4">
        <v>36860</v>
      </c>
      <c r="C55" s="1" t="s">
        <v>946</v>
      </c>
      <c r="E55" s="1"/>
      <c r="G55" s="65"/>
      <c r="H55" s="66">
        <v>128.05548812923817</v>
      </c>
      <c r="I55" s="6" t="s">
        <v>196</v>
      </c>
    </row>
    <row r="56" spans="2:8" ht="12.75">
      <c r="B56" s="4"/>
      <c r="C56" s="1" t="s">
        <v>363</v>
      </c>
      <c r="G56" s="63">
        <f>SUM(G49:G55)</f>
        <v>1098.68</v>
      </c>
      <c r="H56" s="3">
        <f>SUM(H49:H55)</f>
        <v>1098.5296472082923</v>
      </c>
    </row>
    <row r="57" spans="2:8" ht="12.75">
      <c r="B57" s="4"/>
      <c r="C57" s="1" t="s">
        <v>567</v>
      </c>
      <c r="H57" s="3">
        <f>+H56-H55</f>
        <v>970.4741590790542</v>
      </c>
    </row>
    <row r="58" spans="2:8" ht="12.75">
      <c r="B58" s="4"/>
      <c r="H58" s="3"/>
    </row>
    <row r="59" spans="3:9" ht="12.75">
      <c r="C59" s="2"/>
      <c r="G59" s="213" t="s">
        <v>364</v>
      </c>
      <c r="H59" s="213"/>
      <c r="I59" s="7" t="s">
        <v>380</v>
      </c>
    </row>
    <row r="60" spans="7:9" ht="12.75">
      <c r="G60" s="214" t="s">
        <v>385</v>
      </c>
      <c r="H60" s="214"/>
      <c r="I60" s="7" t="s">
        <v>381</v>
      </c>
    </row>
    <row r="61" spans="1:8" ht="12.75">
      <c r="A61" s="1" t="s">
        <v>245</v>
      </c>
      <c r="B61" s="6" t="s">
        <v>125</v>
      </c>
      <c r="C61" s="1" t="s">
        <v>366</v>
      </c>
      <c r="D61" s="1" t="s">
        <v>367</v>
      </c>
      <c r="E61" s="3" t="s">
        <v>369</v>
      </c>
      <c r="F61" s="6" t="s">
        <v>370</v>
      </c>
      <c r="G61" s="9" t="s">
        <v>361</v>
      </c>
      <c r="H61" s="8" t="s">
        <v>124</v>
      </c>
    </row>
    <row r="62" spans="1:9" ht="12.75">
      <c r="A62" s="1" t="s">
        <v>335</v>
      </c>
      <c r="B62" s="4">
        <v>36640</v>
      </c>
      <c r="C62" s="1" t="s">
        <v>389</v>
      </c>
      <c r="D62" s="1" t="s">
        <v>390</v>
      </c>
      <c r="E62" s="3">
        <v>40</v>
      </c>
      <c r="F62" s="3">
        <v>61.32</v>
      </c>
      <c r="G62" s="63">
        <f>+E62*F62</f>
        <v>2452.8</v>
      </c>
      <c r="H62" s="1"/>
      <c r="I62" s="1"/>
    </row>
    <row r="63" spans="1:9" ht="12.75">
      <c r="A63" s="1" t="s">
        <v>335</v>
      </c>
      <c r="B63" s="4">
        <v>36646</v>
      </c>
      <c r="C63" s="1" t="s">
        <v>388</v>
      </c>
      <c r="E63" s="3">
        <v>37.71177117711771</v>
      </c>
      <c r="F63" s="3">
        <v>61.32</v>
      </c>
      <c r="G63" s="10"/>
      <c r="H63" s="3">
        <f>+E63*F63</f>
        <v>2312.4858085808582</v>
      </c>
      <c r="I63" s="6" t="s">
        <v>194</v>
      </c>
    </row>
    <row r="64" spans="1:9" ht="12.75">
      <c r="A64" s="1" t="s">
        <v>335</v>
      </c>
      <c r="B64" s="4">
        <v>36705</v>
      </c>
      <c r="C64" s="1" t="s">
        <v>388</v>
      </c>
      <c r="E64" s="3">
        <v>2.2882288228822882</v>
      </c>
      <c r="F64" s="3">
        <v>61.32</v>
      </c>
      <c r="G64" s="10"/>
      <c r="H64" s="64">
        <f>+E64*F64</f>
        <v>140.3141914191419</v>
      </c>
      <c r="I64" s="6" t="s">
        <v>194</v>
      </c>
    </row>
    <row r="65" spans="1:7" ht="12.75">
      <c r="A65" s="1" t="s">
        <v>335</v>
      </c>
      <c r="B65" s="4">
        <v>36799</v>
      </c>
      <c r="C65" s="1" t="s">
        <v>386</v>
      </c>
      <c r="D65" s="1" t="s">
        <v>387</v>
      </c>
      <c r="E65" s="3">
        <v>430</v>
      </c>
      <c r="F65" s="3">
        <v>1.74</v>
      </c>
      <c r="G65" s="63">
        <f>+E65*F65</f>
        <v>748.2</v>
      </c>
    </row>
    <row r="66" spans="1:9" ht="12.75">
      <c r="A66" s="1" t="s">
        <v>335</v>
      </c>
      <c r="B66" s="4">
        <v>36814</v>
      </c>
      <c r="C66" s="1" t="s">
        <v>568</v>
      </c>
      <c r="D66" s="1" t="s">
        <v>387</v>
      </c>
      <c r="E66" s="3">
        <v>430</v>
      </c>
      <c r="F66" s="3">
        <v>1.74</v>
      </c>
      <c r="G66" s="11"/>
      <c r="H66" s="12">
        <f>+F66*E66</f>
        <v>748.2</v>
      </c>
      <c r="I66" s="6" t="s">
        <v>196</v>
      </c>
    </row>
    <row r="67" spans="2:8" ht="12.75">
      <c r="B67" s="4"/>
      <c r="C67" s="1" t="s">
        <v>363</v>
      </c>
      <c r="G67" s="63">
        <f>SUM(G62:G66)</f>
        <v>3201</v>
      </c>
      <c r="H67" s="63">
        <f>SUM(H62:H66)</f>
        <v>3201</v>
      </c>
    </row>
    <row r="68" spans="3:8" ht="12.75">
      <c r="C68" s="1" t="s">
        <v>567</v>
      </c>
      <c r="G68" s="3"/>
      <c r="H68" s="3">
        <f>+H67-H66</f>
        <v>2452.8</v>
      </c>
    </row>
    <row r="70" spans="7:9" ht="12.75">
      <c r="G70" s="213" t="s">
        <v>364</v>
      </c>
      <c r="H70" s="213"/>
      <c r="I70" s="7"/>
    </row>
    <row r="71" spans="7:9" ht="12.75">
      <c r="G71" s="214" t="s">
        <v>399</v>
      </c>
      <c r="H71" s="214"/>
      <c r="I71" s="7"/>
    </row>
    <row r="72" spans="1:8" ht="12.75">
      <c r="A72" s="1" t="s">
        <v>245</v>
      </c>
      <c r="B72" s="6" t="s">
        <v>125</v>
      </c>
      <c r="C72" s="1" t="s">
        <v>366</v>
      </c>
      <c r="D72" s="1" t="s">
        <v>367</v>
      </c>
      <c r="E72" s="3" t="s">
        <v>369</v>
      </c>
      <c r="F72" s="6" t="s">
        <v>370</v>
      </c>
      <c r="G72" s="9" t="s">
        <v>361</v>
      </c>
      <c r="H72" s="8" t="s">
        <v>124</v>
      </c>
    </row>
    <row r="73" spans="1:7" ht="12.75">
      <c r="A73" s="1" t="s">
        <v>334</v>
      </c>
      <c r="B73" s="4">
        <v>36549</v>
      </c>
      <c r="C73" s="1" t="s">
        <v>398</v>
      </c>
      <c r="D73" s="6" t="s">
        <v>368</v>
      </c>
      <c r="E73" s="3">
        <v>5</v>
      </c>
      <c r="F73" s="3">
        <v>52.83</v>
      </c>
      <c r="G73" s="62">
        <f>+E73*F73</f>
        <v>264.15</v>
      </c>
    </row>
    <row r="74" spans="1:7" ht="12.75">
      <c r="A74" s="1" t="s">
        <v>334</v>
      </c>
      <c r="B74" s="4">
        <v>36563</v>
      </c>
      <c r="C74" s="1" t="s">
        <v>398</v>
      </c>
      <c r="D74" s="6" t="s">
        <v>368</v>
      </c>
      <c r="E74" s="3">
        <v>20</v>
      </c>
      <c r="F74" s="3">
        <v>78.77</v>
      </c>
      <c r="G74" s="63">
        <f>+E74*F74</f>
        <v>1575.3999999999999</v>
      </c>
    </row>
    <row r="75" spans="1:7" ht="12.75">
      <c r="A75" s="1" t="s">
        <v>334</v>
      </c>
      <c r="B75" s="4">
        <v>36568</v>
      </c>
      <c r="C75" s="1" t="s">
        <v>395</v>
      </c>
      <c r="D75" s="6" t="s">
        <v>368</v>
      </c>
      <c r="E75" s="3">
        <v>147.4</v>
      </c>
      <c r="F75" s="3">
        <v>10.42</v>
      </c>
      <c r="G75" s="63">
        <f aca="true" t="shared" si="2" ref="G75:G93">+E75*F75</f>
        <v>1535.9080000000001</v>
      </c>
    </row>
    <row r="76" spans="1:7" ht="12.75">
      <c r="A76" s="1" t="s">
        <v>334</v>
      </c>
      <c r="B76" s="4">
        <v>36610</v>
      </c>
      <c r="C76" s="1" t="s">
        <v>398</v>
      </c>
      <c r="D76" s="6" t="s">
        <v>368</v>
      </c>
      <c r="E76" s="3">
        <v>5</v>
      </c>
      <c r="F76" s="3">
        <v>86.45</v>
      </c>
      <c r="G76" s="63">
        <f t="shared" si="2"/>
        <v>432.25</v>
      </c>
    </row>
    <row r="77" spans="1:7" ht="12.75">
      <c r="A77" s="1" t="s">
        <v>334</v>
      </c>
      <c r="B77" s="4">
        <v>36615</v>
      </c>
      <c r="C77" s="1" t="s">
        <v>398</v>
      </c>
      <c r="D77" s="6" t="s">
        <v>368</v>
      </c>
      <c r="E77" s="3">
        <v>20</v>
      </c>
      <c r="F77" s="3">
        <v>78.77</v>
      </c>
      <c r="G77" s="63">
        <f t="shared" si="2"/>
        <v>1575.3999999999999</v>
      </c>
    </row>
    <row r="78" spans="1:7" ht="12.75">
      <c r="A78" s="1" t="s">
        <v>334</v>
      </c>
      <c r="B78" s="4">
        <v>36615</v>
      </c>
      <c r="C78" s="1" t="s">
        <v>398</v>
      </c>
      <c r="D78" s="6" t="s">
        <v>368</v>
      </c>
      <c r="E78" s="3">
        <v>8</v>
      </c>
      <c r="F78" s="3">
        <v>64.36</v>
      </c>
      <c r="G78" s="63">
        <f t="shared" si="2"/>
        <v>514.88</v>
      </c>
    </row>
    <row r="79" spans="1:7" ht="12.75">
      <c r="A79" s="1" t="s">
        <v>334</v>
      </c>
      <c r="B79" s="4">
        <v>36639</v>
      </c>
      <c r="C79" s="1" t="s">
        <v>398</v>
      </c>
      <c r="D79" s="6" t="s">
        <v>368</v>
      </c>
      <c r="E79" s="3">
        <v>5</v>
      </c>
      <c r="F79" s="3">
        <v>86.45</v>
      </c>
      <c r="G79" s="63">
        <f t="shared" si="2"/>
        <v>432.25</v>
      </c>
    </row>
    <row r="80" spans="1:7" ht="12.75">
      <c r="A80" s="1" t="s">
        <v>334</v>
      </c>
      <c r="B80" s="4">
        <v>36649</v>
      </c>
      <c r="C80" s="1" t="s">
        <v>398</v>
      </c>
      <c r="D80" s="6" t="s">
        <v>368</v>
      </c>
      <c r="E80" s="3">
        <v>5</v>
      </c>
      <c r="F80" s="3">
        <v>52.83</v>
      </c>
      <c r="G80" s="63">
        <f t="shared" si="2"/>
        <v>264.15</v>
      </c>
    </row>
    <row r="81" spans="1:7" ht="12.75">
      <c r="A81" s="1" t="s">
        <v>334</v>
      </c>
      <c r="B81" s="4">
        <v>36652</v>
      </c>
      <c r="C81" s="1" t="s">
        <v>395</v>
      </c>
      <c r="D81" s="6" t="s">
        <v>368</v>
      </c>
      <c r="E81" s="3">
        <v>151.4</v>
      </c>
      <c r="F81" s="3">
        <v>10.42</v>
      </c>
      <c r="G81" s="63">
        <f t="shared" si="2"/>
        <v>1577.588</v>
      </c>
    </row>
    <row r="82" spans="1:7" ht="12.75">
      <c r="A82" s="1" t="s">
        <v>334</v>
      </c>
      <c r="B82" s="4">
        <v>36668</v>
      </c>
      <c r="C82" s="1" t="s">
        <v>398</v>
      </c>
      <c r="D82" s="6" t="s">
        <v>368</v>
      </c>
      <c r="E82" s="3">
        <v>5</v>
      </c>
      <c r="F82" s="3">
        <v>52.83</v>
      </c>
      <c r="G82" s="63">
        <f t="shared" si="2"/>
        <v>264.15</v>
      </c>
    </row>
    <row r="83" spans="1:7" ht="12.75">
      <c r="A83" s="1" t="s">
        <v>334</v>
      </c>
      <c r="B83" s="4">
        <v>36677</v>
      </c>
      <c r="C83" s="1" t="s">
        <v>398</v>
      </c>
      <c r="D83" s="6" t="s">
        <v>368</v>
      </c>
      <c r="E83" s="3">
        <v>20</v>
      </c>
      <c r="F83" s="3">
        <v>78.77</v>
      </c>
      <c r="G83" s="63">
        <f t="shared" si="2"/>
        <v>1575.3999999999999</v>
      </c>
    </row>
    <row r="84" spans="1:7" ht="12.75">
      <c r="A84" s="1" t="s">
        <v>334</v>
      </c>
      <c r="B84" s="4">
        <v>36691</v>
      </c>
      <c r="C84" s="1" t="s">
        <v>398</v>
      </c>
      <c r="D84" s="6" t="s">
        <v>368</v>
      </c>
      <c r="E84" s="3">
        <v>5</v>
      </c>
      <c r="F84" s="3">
        <v>86.45</v>
      </c>
      <c r="G84" s="63">
        <f t="shared" si="2"/>
        <v>432.25</v>
      </c>
    </row>
    <row r="85" spans="1:7" ht="12.75">
      <c r="A85" s="1" t="s">
        <v>334</v>
      </c>
      <c r="B85" s="4">
        <v>36725</v>
      </c>
      <c r="C85" s="1" t="s">
        <v>398</v>
      </c>
      <c r="D85" s="6" t="s">
        <v>368</v>
      </c>
      <c r="E85" s="3">
        <v>5</v>
      </c>
      <c r="F85" s="3">
        <v>86.45</v>
      </c>
      <c r="G85" s="63">
        <f t="shared" si="2"/>
        <v>432.25</v>
      </c>
    </row>
    <row r="86" spans="1:7" ht="12.75">
      <c r="A86" s="1" t="s">
        <v>334</v>
      </c>
      <c r="B86" s="4">
        <v>36732</v>
      </c>
      <c r="C86" s="1" t="s">
        <v>395</v>
      </c>
      <c r="D86" s="6" t="s">
        <v>368</v>
      </c>
      <c r="E86" s="3">
        <v>5</v>
      </c>
      <c r="F86" s="3">
        <v>10.09</v>
      </c>
      <c r="G86" s="63">
        <f t="shared" si="2"/>
        <v>50.45</v>
      </c>
    </row>
    <row r="87" spans="1:7" ht="12.75">
      <c r="A87" s="1" t="s">
        <v>334</v>
      </c>
      <c r="B87" s="4">
        <v>36732</v>
      </c>
      <c r="C87" s="1" t="s">
        <v>398</v>
      </c>
      <c r="D87" s="6" t="s">
        <v>368</v>
      </c>
      <c r="E87" s="3">
        <v>5</v>
      </c>
      <c r="F87" s="3">
        <v>52.83</v>
      </c>
      <c r="G87" s="63">
        <f t="shared" si="2"/>
        <v>264.15</v>
      </c>
    </row>
    <row r="88" spans="1:7" ht="12.75">
      <c r="A88" s="1" t="s">
        <v>334</v>
      </c>
      <c r="B88" s="4">
        <v>36737</v>
      </c>
      <c r="C88" s="1" t="s">
        <v>398</v>
      </c>
      <c r="D88" s="6" t="s">
        <v>368</v>
      </c>
      <c r="E88" s="3">
        <v>20</v>
      </c>
      <c r="F88" s="3">
        <v>78.77</v>
      </c>
      <c r="G88" s="63">
        <f t="shared" si="2"/>
        <v>1575.3999999999999</v>
      </c>
    </row>
    <row r="89" spans="1:7" ht="12.75">
      <c r="A89" s="1" t="s">
        <v>320</v>
      </c>
      <c r="B89" s="4">
        <v>36796</v>
      </c>
      <c r="C89" s="1" t="s">
        <v>400</v>
      </c>
      <c r="D89" s="6" t="s">
        <v>368</v>
      </c>
      <c r="E89" s="3">
        <v>0.5</v>
      </c>
      <c r="F89" s="3">
        <v>129.68</v>
      </c>
      <c r="G89" s="63">
        <f t="shared" si="2"/>
        <v>64.84</v>
      </c>
    </row>
    <row r="90" spans="1:7" ht="12.75">
      <c r="A90" s="1" t="s">
        <v>334</v>
      </c>
      <c r="B90" s="4">
        <v>36799</v>
      </c>
      <c r="C90" s="1" t="s">
        <v>398</v>
      </c>
      <c r="D90" s="6" t="s">
        <v>368</v>
      </c>
      <c r="E90" s="3">
        <v>20</v>
      </c>
      <c r="F90" s="3">
        <v>78.77</v>
      </c>
      <c r="G90" s="63">
        <f t="shared" si="2"/>
        <v>1575.3999999999999</v>
      </c>
    </row>
    <row r="91" spans="1:7" ht="12.75">
      <c r="A91" s="1" t="s">
        <v>334</v>
      </c>
      <c r="B91" s="4">
        <v>36799</v>
      </c>
      <c r="C91" s="1" t="s">
        <v>398</v>
      </c>
      <c r="D91" s="6" t="s">
        <v>368</v>
      </c>
      <c r="E91" s="3">
        <v>8</v>
      </c>
      <c r="F91" s="3">
        <v>64.36</v>
      </c>
      <c r="G91" s="63">
        <f t="shared" si="2"/>
        <v>514.88</v>
      </c>
    </row>
    <row r="92" spans="1:7" ht="12.75">
      <c r="A92" s="1" t="s">
        <v>320</v>
      </c>
      <c r="B92" s="4">
        <v>36830</v>
      </c>
      <c r="C92" s="1" t="s">
        <v>401</v>
      </c>
      <c r="D92" s="6" t="s">
        <v>368</v>
      </c>
      <c r="E92" s="3">
        <v>19.5</v>
      </c>
      <c r="F92" s="3">
        <v>71.92</v>
      </c>
      <c r="G92" s="63">
        <f t="shared" si="2"/>
        <v>1402.44</v>
      </c>
    </row>
    <row r="93" spans="1:7" ht="12.75">
      <c r="A93" s="1" t="s">
        <v>320</v>
      </c>
      <c r="B93" s="4">
        <v>36830</v>
      </c>
      <c r="C93" s="1" t="s">
        <v>396</v>
      </c>
      <c r="D93" s="6" t="s">
        <v>368</v>
      </c>
      <c r="E93" s="3">
        <v>1</v>
      </c>
      <c r="F93" s="3">
        <v>34.58</v>
      </c>
      <c r="G93" s="63">
        <f t="shared" si="2"/>
        <v>34.58</v>
      </c>
    </row>
    <row r="94" spans="1:7" ht="12.75">
      <c r="A94" s="1" t="s">
        <v>320</v>
      </c>
      <c r="B94" s="4">
        <v>36878</v>
      </c>
      <c r="C94" s="1" t="s">
        <v>397</v>
      </c>
      <c r="D94" s="6" t="s">
        <v>368</v>
      </c>
      <c r="E94" s="3">
        <v>0</v>
      </c>
      <c r="F94" s="3">
        <v>0</v>
      </c>
      <c r="G94" s="63">
        <v>10919.251963827359</v>
      </c>
    </row>
    <row r="95" spans="2:8" ht="12.75">
      <c r="B95" s="4">
        <v>36891</v>
      </c>
      <c r="C95" s="1" t="s">
        <v>569</v>
      </c>
      <c r="D95" s="6" t="s">
        <v>368</v>
      </c>
      <c r="G95" s="63"/>
      <c r="H95" s="3">
        <f>+G97-H96</f>
        <v>25552.348629488653</v>
      </c>
    </row>
    <row r="96" spans="1:8" ht="12.75">
      <c r="A96" s="1" t="s">
        <v>320</v>
      </c>
      <c r="B96" s="4">
        <v>36891</v>
      </c>
      <c r="C96" s="1" t="s">
        <v>570</v>
      </c>
      <c r="D96" s="6" t="s">
        <v>368</v>
      </c>
      <c r="G96" s="65"/>
      <c r="H96" s="12">
        <v>1725.0693343387027</v>
      </c>
    </row>
    <row r="97" spans="2:8" ht="12.75">
      <c r="B97" s="4"/>
      <c r="C97" s="1" t="s">
        <v>363</v>
      </c>
      <c r="G97" s="63">
        <f>SUM(G73:G96)</f>
        <v>27277.417963827356</v>
      </c>
      <c r="H97" s="3">
        <f>SUM(H73:H96)</f>
        <v>27277.417963827356</v>
      </c>
    </row>
    <row r="98" spans="2:8" ht="12.75">
      <c r="B98" s="4"/>
      <c r="D98" s="6"/>
      <c r="H98" s="1"/>
    </row>
    <row r="99" spans="7:8" ht="12.75">
      <c r="G99" s="213" t="s">
        <v>364</v>
      </c>
      <c r="H99" s="213"/>
    </row>
    <row r="100" spans="7:8" ht="12.75">
      <c r="G100" s="214" t="s">
        <v>392</v>
      </c>
      <c r="H100" s="214"/>
    </row>
    <row r="101" spans="1:8" ht="12.75">
      <c r="A101" s="1" t="s">
        <v>245</v>
      </c>
      <c r="B101" s="6" t="s">
        <v>125</v>
      </c>
      <c r="C101" s="1" t="s">
        <v>366</v>
      </c>
      <c r="D101" s="1" t="s">
        <v>367</v>
      </c>
      <c r="E101" s="3" t="s">
        <v>369</v>
      </c>
      <c r="F101" s="6" t="s">
        <v>370</v>
      </c>
      <c r="G101" s="9" t="s">
        <v>361</v>
      </c>
      <c r="H101" s="8" t="s">
        <v>124</v>
      </c>
    </row>
    <row r="102" spans="1:7" ht="12.75">
      <c r="A102" s="1" t="s">
        <v>334</v>
      </c>
      <c r="B102" s="4">
        <v>36534</v>
      </c>
      <c r="C102" s="1" t="s">
        <v>392</v>
      </c>
      <c r="D102" s="6" t="s">
        <v>368</v>
      </c>
      <c r="E102" s="3">
        <v>5</v>
      </c>
      <c r="F102" s="3">
        <v>136.86</v>
      </c>
      <c r="G102" s="62">
        <f aca="true" t="shared" si="3" ref="G102:G107">+E102*F102</f>
        <v>684.3000000000001</v>
      </c>
    </row>
    <row r="103" spans="1:7" ht="12.75">
      <c r="A103" s="1" t="s">
        <v>334</v>
      </c>
      <c r="B103" s="4">
        <v>36571</v>
      </c>
      <c r="C103" s="1" t="s">
        <v>392</v>
      </c>
      <c r="D103" s="6" t="s">
        <v>368</v>
      </c>
      <c r="E103" s="3">
        <v>5</v>
      </c>
      <c r="F103" s="3">
        <v>136.86</v>
      </c>
      <c r="G103" s="63">
        <f t="shared" si="3"/>
        <v>684.3000000000001</v>
      </c>
    </row>
    <row r="104" spans="1:7" ht="12.75">
      <c r="A104" s="1" t="s">
        <v>334</v>
      </c>
      <c r="B104" s="4">
        <v>36629</v>
      </c>
      <c r="C104" s="1" t="s">
        <v>392</v>
      </c>
      <c r="D104" s="6" t="s">
        <v>368</v>
      </c>
      <c r="E104" s="3">
        <v>5</v>
      </c>
      <c r="F104" s="3">
        <v>136.86</v>
      </c>
      <c r="G104" s="63">
        <f t="shared" si="3"/>
        <v>684.3000000000001</v>
      </c>
    </row>
    <row r="105" spans="1:7" ht="12.75">
      <c r="A105" s="1" t="s">
        <v>334</v>
      </c>
      <c r="B105" s="4">
        <v>36688</v>
      </c>
      <c r="C105" s="1" t="s">
        <v>392</v>
      </c>
      <c r="D105" s="6" t="s">
        <v>368</v>
      </c>
      <c r="E105" s="3">
        <v>5</v>
      </c>
      <c r="F105" s="3">
        <v>136.86</v>
      </c>
      <c r="G105" s="63">
        <f t="shared" si="3"/>
        <v>684.3000000000001</v>
      </c>
    </row>
    <row r="106" spans="1:7" ht="12.75">
      <c r="A106" s="1" t="s">
        <v>334</v>
      </c>
      <c r="B106" s="4">
        <v>36751</v>
      </c>
      <c r="C106" s="1" t="s">
        <v>392</v>
      </c>
      <c r="D106" s="6" t="s">
        <v>368</v>
      </c>
      <c r="E106" s="3">
        <v>5</v>
      </c>
      <c r="F106" s="3">
        <v>136.86</v>
      </c>
      <c r="G106" s="63">
        <f t="shared" si="3"/>
        <v>684.3000000000001</v>
      </c>
    </row>
    <row r="107" spans="1:7" ht="12.75">
      <c r="A107" s="1" t="s">
        <v>334</v>
      </c>
      <c r="B107" s="4">
        <v>36817</v>
      </c>
      <c r="C107" s="1" t="s">
        <v>392</v>
      </c>
      <c r="D107" s="6" t="s">
        <v>368</v>
      </c>
      <c r="E107" s="3">
        <v>5</v>
      </c>
      <c r="F107" s="3">
        <v>136.86</v>
      </c>
      <c r="G107" s="63">
        <f t="shared" si="3"/>
        <v>684.3000000000001</v>
      </c>
    </row>
    <row r="108" spans="2:8" ht="12.75">
      <c r="B108" s="4">
        <v>36891</v>
      </c>
      <c r="C108" s="1" t="s">
        <v>402</v>
      </c>
      <c r="D108" s="6" t="s">
        <v>368</v>
      </c>
      <c r="E108" s="3">
        <f>SUM(E102:E107)</f>
        <v>30</v>
      </c>
      <c r="F108" s="3">
        <v>136.86</v>
      </c>
      <c r="G108" s="11"/>
      <c r="H108" s="12">
        <f>+G109</f>
        <v>4105.8</v>
      </c>
    </row>
    <row r="109" spans="2:8" ht="12.75">
      <c r="B109" s="4"/>
      <c r="C109" s="1" t="s">
        <v>363</v>
      </c>
      <c r="G109" s="63">
        <f>SUM(G102:G108)</f>
        <v>4105.8</v>
      </c>
      <c r="H109" s="3">
        <f>SUM(H102:H108)</f>
        <v>4105.8</v>
      </c>
    </row>
    <row r="110" ht="12.75">
      <c r="B110" s="4"/>
    </row>
    <row r="111" spans="7:8" ht="12.75">
      <c r="G111" s="213" t="s">
        <v>364</v>
      </c>
      <c r="H111" s="213"/>
    </row>
    <row r="112" spans="7:8" ht="12.75">
      <c r="G112" s="214" t="s">
        <v>393</v>
      </c>
      <c r="H112" s="214"/>
    </row>
    <row r="113" spans="1:8" ht="12.75">
      <c r="A113" s="1" t="s">
        <v>245</v>
      </c>
      <c r="B113" s="6" t="s">
        <v>125</v>
      </c>
      <c r="C113" s="1" t="s">
        <v>366</v>
      </c>
      <c r="D113" s="1" t="s">
        <v>367</v>
      </c>
      <c r="E113" s="3" t="s">
        <v>369</v>
      </c>
      <c r="F113" s="6" t="s">
        <v>370</v>
      </c>
      <c r="G113" s="9" t="s">
        <v>361</v>
      </c>
      <c r="H113" s="8" t="s">
        <v>124</v>
      </c>
    </row>
    <row r="114" spans="1:7" ht="12.75">
      <c r="A114" s="1" t="s">
        <v>334</v>
      </c>
      <c r="B114" s="4">
        <v>36536</v>
      </c>
      <c r="C114" s="1" t="s">
        <v>393</v>
      </c>
      <c r="D114" s="6" t="s">
        <v>368</v>
      </c>
      <c r="E114" s="3">
        <v>40</v>
      </c>
      <c r="F114" s="3">
        <v>18.88</v>
      </c>
      <c r="G114" s="62">
        <f>+E114*F114</f>
        <v>755.1999999999999</v>
      </c>
    </row>
    <row r="115" spans="1:7" ht="12.75">
      <c r="A115" s="1" t="s">
        <v>334</v>
      </c>
      <c r="B115" s="4">
        <v>36558</v>
      </c>
      <c r="C115" s="1" t="s">
        <v>393</v>
      </c>
      <c r="D115" s="6" t="s">
        <v>368</v>
      </c>
      <c r="E115" s="3">
        <v>41</v>
      </c>
      <c r="F115" s="3">
        <v>18.4</v>
      </c>
      <c r="G115" s="63">
        <f>+E115*F115</f>
        <v>754.4</v>
      </c>
    </row>
    <row r="116" spans="1:7" ht="12.75">
      <c r="A116" s="1" t="s">
        <v>334</v>
      </c>
      <c r="B116" s="4">
        <v>36568</v>
      </c>
      <c r="C116" s="1" t="s">
        <v>393</v>
      </c>
      <c r="D116" s="6" t="s">
        <v>368</v>
      </c>
      <c r="E116" s="3">
        <v>48.2</v>
      </c>
      <c r="F116" s="3">
        <v>19.5</v>
      </c>
      <c r="G116" s="63">
        <f aca="true" t="shared" si="4" ref="G116:G142">+E116*F116</f>
        <v>939.9000000000001</v>
      </c>
    </row>
    <row r="117" spans="1:7" ht="12.75">
      <c r="A117" s="1" t="s">
        <v>334</v>
      </c>
      <c r="B117" s="4">
        <v>36586</v>
      </c>
      <c r="C117" s="1" t="s">
        <v>393</v>
      </c>
      <c r="D117" s="6" t="s">
        <v>368</v>
      </c>
      <c r="E117" s="3">
        <v>40.4</v>
      </c>
      <c r="F117" s="3">
        <v>19.07</v>
      </c>
      <c r="G117" s="63">
        <f t="shared" si="4"/>
        <v>770.428</v>
      </c>
    </row>
    <row r="118" spans="1:7" ht="12.75">
      <c r="A118" s="1" t="s">
        <v>334</v>
      </c>
      <c r="B118" s="4">
        <v>36598</v>
      </c>
      <c r="C118" s="1" t="s">
        <v>393</v>
      </c>
      <c r="D118" s="6" t="s">
        <v>368</v>
      </c>
      <c r="E118" s="3">
        <v>51.8</v>
      </c>
      <c r="F118" s="3">
        <v>19.5</v>
      </c>
      <c r="G118" s="63">
        <f t="shared" si="4"/>
        <v>1010.0999999999999</v>
      </c>
    </row>
    <row r="119" spans="1:7" ht="12.75">
      <c r="A119" s="1" t="s">
        <v>334</v>
      </c>
      <c r="B119" s="4">
        <v>36615</v>
      </c>
      <c r="C119" s="1" t="s">
        <v>393</v>
      </c>
      <c r="D119" s="6" t="s">
        <v>368</v>
      </c>
      <c r="E119" s="3">
        <v>44.4</v>
      </c>
      <c r="F119" s="3">
        <v>19.02</v>
      </c>
      <c r="G119" s="63">
        <f t="shared" si="4"/>
        <v>844.4879999999999</v>
      </c>
    </row>
    <row r="120" spans="1:7" ht="12.75">
      <c r="A120" s="1" t="s">
        <v>334</v>
      </c>
      <c r="B120" s="4">
        <v>36633</v>
      </c>
      <c r="C120" s="1" t="s">
        <v>393</v>
      </c>
      <c r="D120" s="6" t="s">
        <v>368</v>
      </c>
      <c r="E120" s="3">
        <v>52.8</v>
      </c>
      <c r="F120" s="3">
        <v>19.5</v>
      </c>
      <c r="G120" s="63">
        <f t="shared" si="4"/>
        <v>1029.6</v>
      </c>
    </row>
    <row r="121" spans="1:7" ht="12.75">
      <c r="A121" s="1" t="s">
        <v>334</v>
      </c>
      <c r="B121" s="4">
        <v>36634</v>
      </c>
      <c r="C121" s="1" t="s">
        <v>393</v>
      </c>
      <c r="D121" s="6" t="s">
        <v>368</v>
      </c>
      <c r="E121" s="3">
        <v>39.6</v>
      </c>
      <c r="F121" s="3">
        <v>19.36</v>
      </c>
      <c r="G121" s="63">
        <f t="shared" si="4"/>
        <v>766.656</v>
      </c>
    </row>
    <row r="122" spans="1:7" ht="12.75">
      <c r="A122" s="1" t="s">
        <v>334</v>
      </c>
      <c r="B122" s="4">
        <v>36649</v>
      </c>
      <c r="C122" s="1" t="s">
        <v>393</v>
      </c>
      <c r="D122" s="6" t="s">
        <v>368</v>
      </c>
      <c r="E122" s="3">
        <v>40</v>
      </c>
      <c r="F122" s="3">
        <v>20.08</v>
      </c>
      <c r="G122" s="63">
        <f t="shared" si="4"/>
        <v>803.1999999999999</v>
      </c>
    </row>
    <row r="123" spans="1:7" ht="12.75">
      <c r="A123" s="1" t="s">
        <v>334</v>
      </c>
      <c r="B123" s="4">
        <v>36663</v>
      </c>
      <c r="C123" s="1" t="s">
        <v>393</v>
      </c>
      <c r="D123" s="6" t="s">
        <v>368</v>
      </c>
      <c r="E123" s="3">
        <v>47.8</v>
      </c>
      <c r="F123" s="3">
        <v>20.22</v>
      </c>
      <c r="G123" s="63">
        <f t="shared" si="4"/>
        <v>966.5159999999998</v>
      </c>
    </row>
    <row r="124" spans="1:7" ht="12.75">
      <c r="A124" s="1" t="s">
        <v>334</v>
      </c>
      <c r="B124" s="4">
        <v>36667</v>
      </c>
      <c r="C124" s="1" t="s">
        <v>393</v>
      </c>
      <c r="D124" s="6" t="s">
        <v>368</v>
      </c>
      <c r="E124" s="3">
        <v>49.4</v>
      </c>
      <c r="F124" s="3">
        <v>19.5</v>
      </c>
      <c r="G124" s="63">
        <f t="shared" si="4"/>
        <v>963.3</v>
      </c>
    </row>
    <row r="125" spans="1:7" ht="12.75">
      <c r="A125" s="1" t="s">
        <v>334</v>
      </c>
      <c r="B125" s="4">
        <v>36685</v>
      </c>
      <c r="C125" s="1" t="s">
        <v>393</v>
      </c>
      <c r="D125" s="6" t="s">
        <v>368</v>
      </c>
      <c r="E125" s="3">
        <v>54.6</v>
      </c>
      <c r="F125" s="3">
        <v>19.07</v>
      </c>
      <c r="G125" s="63">
        <f t="shared" si="4"/>
        <v>1041.222</v>
      </c>
    </row>
    <row r="126" spans="1:7" ht="12.75">
      <c r="A126" s="1" t="s">
        <v>334</v>
      </c>
      <c r="B126" s="4">
        <v>36696</v>
      </c>
      <c r="C126" s="1" t="s">
        <v>393</v>
      </c>
      <c r="D126" s="6" t="s">
        <v>368</v>
      </c>
      <c r="E126" s="3">
        <v>44.8</v>
      </c>
      <c r="F126" s="3">
        <v>19.74</v>
      </c>
      <c r="G126" s="63">
        <f t="shared" si="4"/>
        <v>884.3519999999999</v>
      </c>
    </row>
    <row r="127" spans="1:7" ht="12.75">
      <c r="A127" s="1" t="s">
        <v>334</v>
      </c>
      <c r="B127" s="4">
        <v>36703</v>
      </c>
      <c r="C127" s="1" t="s">
        <v>393</v>
      </c>
      <c r="D127" s="6" t="s">
        <v>368</v>
      </c>
      <c r="E127" s="3">
        <v>55.6</v>
      </c>
      <c r="F127" s="3">
        <v>18.11</v>
      </c>
      <c r="G127" s="63">
        <f t="shared" si="4"/>
        <v>1006.9159999999999</v>
      </c>
    </row>
    <row r="128" spans="1:7" ht="12.75">
      <c r="A128" s="1" t="s">
        <v>334</v>
      </c>
      <c r="B128" s="4">
        <v>36711</v>
      </c>
      <c r="C128" s="1" t="s">
        <v>393</v>
      </c>
      <c r="D128" s="6" t="s">
        <v>368</v>
      </c>
      <c r="E128" s="3">
        <v>47.8</v>
      </c>
      <c r="F128" s="3">
        <v>18.68</v>
      </c>
      <c r="G128" s="63">
        <f t="shared" si="4"/>
        <v>892.9039999999999</v>
      </c>
    </row>
    <row r="129" spans="1:7" ht="12.75">
      <c r="A129" s="1" t="s">
        <v>334</v>
      </c>
      <c r="B129" s="4">
        <v>36724</v>
      </c>
      <c r="C129" s="1" t="s">
        <v>393</v>
      </c>
      <c r="D129" s="6" t="s">
        <v>368</v>
      </c>
      <c r="E129" s="3">
        <v>48</v>
      </c>
      <c r="F129" s="3">
        <v>18.88</v>
      </c>
      <c r="G129" s="63">
        <f t="shared" si="4"/>
        <v>906.24</v>
      </c>
    </row>
    <row r="130" spans="1:7" ht="12.75">
      <c r="A130" s="1" t="s">
        <v>334</v>
      </c>
      <c r="B130" s="4">
        <v>36724</v>
      </c>
      <c r="C130" s="1" t="s">
        <v>393</v>
      </c>
      <c r="D130" s="6" t="s">
        <v>368</v>
      </c>
      <c r="E130" s="3">
        <v>39</v>
      </c>
      <c r="F130" s="3">
        <v>17.29</v>
      </c>
      <c r="G130" s="63">
        <f t="shared" si="4"/>
        <v>674.31</v>
      </c>
    </row>
    <row r="131" spans="1:7" ht="12.75">
      <c r="A131" s="1" t="s">
        <v>334</v>
      </c>
      <c r="B131" s="4">
        <v>36733</v>
      </c>
      <c r="C131" s="1" t="s">
        <v>393</v>
      </c>
      <c r="D131" s="6" t="s">
        <v>368</v>
      </c>
      <c r="E131" s="3">
        <v>47.6</v>
      </c>
      <c r="F131" s="3">
        <v>19.26</v>
      </c>
      <c r="G131" s="63">
        <f t="shared" si="4"/>
        <v>916.7760000000001</v>
      </c>
    </row>
    <row r="132" spans="1:7" ht="12.75">
      <c r="A132" s="1" t="s">
        <v>334</v>
      </c>
      <c r="B132" s="4">
        <v>36736</v>
      </c>
      <c r="C132" s="1" t="s">
        <v>393</v>
      </c>
      <c r="D132" s="6" t="s">
        <v>368</v>
      </c>
      <c r="E132" s="3">
        <v>51</v>
      </c>
      <c r="F132" s="3">
        <v>18.49</v>
      </c>
      <c r="G132" s="63">
        <f t="shared" si="4"/>
        <v>942.9899999999999</v>
      </c>
    </row>
    <row r="133" spans="1:7" ht="12.75">
      <c r="A133" s="1" t="s">
        <v>334</v>
      </c>
      <c r="B133" s="4">
        <v>36745</v>
      </c>
      <c r="C133" s="1" t="s">
        <v>393</v>
      </c>
      <c r="D133" s="6" t="s">
        <v>368</v>
      </c>
      <c r="E133" s="3">
        <v>45</v>
      </c>
      <c r="F133" s="3">
        <v>18.49</v>
      </c>
      <c r="G133" s="63">
        <f t="shared" si="4"/>
        <v>832.05</v>
      </c>
    </row>
    <row r="134" spans="1:7" ht="12.75">
      <c r="A134" s="1" t="s">
        <v>334</v>
      </c>
      <c r="B134" s="4">
        <v>36755</v>
      </c>
      <c r="C134" s="1" t="s">
        <v>393</v>
      </c>
      <c r="D134" s="6" t="s">
        <v>368</v>
      </c>
      <c r="E134" s="3">
        <v>54</v>
      </c>
      <c r="F134" s="3">
        <v>18.49</v>
      </c>
      <c r="G134" s="63">
        <f t="shared" si="4"/>
        <v>998.4599999999999</v>
      </c>
    </row>
    <row r="135" spans="1:7" ht="12.75">
      <c r="A135" s="1" t="s">
        <v>334</v>
      </c>
      <c r="B135" s="4">
        <v>36772</v>
      </c>
      <c r="C135" s="1" t="s">
        <v>393</v>
      </c>
      <c r="D135" s="6" t="s">
        <v>368</v>
      </c>
      <c r="E135" s="3">
        <v>40</v>
      </c>
      <c r="F135" s="3">
        <v>18.49</v>
      </c>
      <c r="G135" s="63">
        <f t="shared" si="4"/>
        <v>739.5999999999999</v>
      </c>
    </row>
    <row r="136" spans="1:7" ht="12.75">
      <c r="A136" s="1" t="s">
        <v>334</v>
      </c>
      <c r="B136" s="4">
        <v>36786</v>
      </c>
      <c r="C136" s="1" t="s">
        <v>393</v>
      </c>
      <c r="D136" s="6" t="s">
        <v>368</v>
      </c>
      <c r="E136" s="3">
        <v>47.8</v>
      </c>
      <c r="F136" s="3">
        <v>18.35</v>
      </c>
      <c r="G136" s="63">
        <f t="shared" si="4"/>
        <v>877.13</v>
      </c>
    </row>
    <row r="137" spans="1:7" ht="12.75">
      <c r="A137" s="1" t="s">
        <v>334</v>
      </c>
      <c r="B137" s="4">
        <v>36807</v>
      </c>
      <c r="C137" s="1" t="s">
        <v>393</v>
      </c>
      <c r="D137" s="6" t="s">
        <v>368</v>
      </c>
      <c r="E137" s="3">
        <v>54.6</v>
      </c>
      <c r="F137" s="3">
        <v>18.49</v>
      </c>
      <c r="G137" s="63">
        <f t="shared" si="4"/>
        <v>1009.554</v>
      </c>
    </row>
    <row r="138" spans="1:7" ht="12.75">
      <c r="A138" s="1" t="s">
        <v>334</v>
      </c>
      <c r="B138" s="4">
        <v>36818</v>
      </c>
      <c r="C138" s="1" t="s">
        <v>393</v>
      </c>
      <c r="D138" s="6" t="s">
        <v>368</v>
      </c>
      <c r="E138" s="3">
        <v>50.7</v>
      </c>
      <c r="F138" s="3">
        <v>18.49</v>
      </c>
      <c r="G138" s="63">
        <f t="shared" si="4"/>
        <v>937.443</v>
      </c>
    </row>
    <row r="139" spans="1:7" ht="12.75">
      <c r="A139" s="1" t="s">
        <v>334</v>
      </c>
      <c r="B139" s="4">
        <v>36837</v>
      </c>
      <c r="C139" s="1" t="s">
        <v>393</v>
      </c>
      <c r="D139" s="6" t="s">
        <v>368</v>
      </c>
      <c r="E139" s="3">
        <v>45</v>
      </c>
      <c r="F139" s="3">
        <v>18.59</v>
      </c>
      <c r="G139" s="63">
        <f t="shared" si="4"/>
        <v>836.55</v>
      </c>
    </row>
    <row r="140" spans="1:7" ht="12.75">
      <c r="A140" s="1" t="s">
        <v>334</v>
      </c>
      <c r="B140" s="4">
        <v>36847</v>
      </c>
      <c r="C140" s="1" t="s">
        <v>393</v>
      </c>
      <c r="D140" s="6" t="s">
        <v>368</v>
      </c>
      <c r="E140" s="3">
        <v>48</v>
      </c>
      <c r="F140" s="3">
        <v>18.59</v>
      </c>
      <c r="G140" s="63">
        <f t="shared" si="4"/>
        <v>892.3199999999999</v>
      </c>
    </row>
    <row r="141" spans="1:7" ht="12.75">
      <c r="A141" s="1" t="s">
        <v>334</v>
      </c>
      <c r="B141" s="4">
        <v>36861</v>
      </c>
      <c r="C141" s="1" t="s">
        <v>393</v>
      </c>
      <c r="D141" s="6" t="s">
        <v>368</v>
      </c>
      <c r="E141" s="3">
        <v>40.4</v>
      </c>
      <c r="F141" s="3">
        <v>18.49</v>
      </c>
      <c r="G141" s="63">
        <f t="shared" si="4"/>
        <v>746.9959999999999</v>
      </c>
    </row>
    <row r="142" spans="1:7" ht="12.75">
      <c r="A142" s="1" t="s">
        <v>334</v>
      </c>
      <c r="B142" s="4">
        <v>36873</v>
      </c>
      <c r="C142" s="1" t="s">
        <v>393</v>
      </c>
      <c r="D142" s="6" t="s">
        <v>368</v>
      </c>
      <c r="E142" s="3">
        <v>51.8</v>
      </c>
      <c r="F142" s="3">
        <v>18.49</v>
      </c>
      <c r="G142" s="63">
        <f t="shared" si="4"/>
        <v>957.7819999999998</v>
      </c>
    </row>
    <row r="143" spans="2:8" ht="12.75">
      <c r="B143" s="4">
        <v>36891</v>
      </c>
      <c r="C143" s="1" t="s">
        <v>403</v>
      </c>
      <c r="D143" s="6" t="s">
        <v>368</v>
      </c>
      <c r="E143" s="3">
        <f>SUM(E114:E142)</f>
        <v>1361.1</v>
      </c>
      <c r="F143" s="3">
        <f>+H143/E143</f>
        <v>18.879864080523102</v>
      </c>
      <c r="G143" s="65"/>
      <c r="H143" s="12">
        <f>+G144</f>
        <v>25697.38299999999</v>
      </c>
    </row>
    <row r="144" spans="2:8" ht="12.75">
      <c r="B144" s="4"/>
      <c r="C144" s="1" t="s">
        <v>363</v>
      </c>
      <c r="G144" s="63">
        <f>SUM(G114:G143)</f>
        <v>25697.38299999999</v>
      </c>
      <c r="H144" s="3">
        <f>SUM(H114:H143)</f>
        <v>25697.38299999999</v>
      </c>
    </row>
    <row r="145" ht="12.75">
      <c r="B145" s="4"/>
    </row>
    <row r="146" spans="7:8" ht="12.75">
      <c r="G146" s="213" t="s">
        <v>364</v>
      </c>
      <c r="H146" s="213"/>
    </row>
    <row r="147" spans="7:8" ht="12.75">
      <c r="G147" s="214" t="s">
        <v>391</v>
      </c>
      <c r="H147" s="214"/>
    </row>
    <row r="148" spans="1:8" ht="12.75">
      <c r="A148" s="1" t="s">
        <v>245</v>
      </c>
      <c r="B148" s="6" t="s">
        <v>125</v>
      </c>
      <c r="C148" s="1" t="s">
        <v>366</v>
      </c>
      <c r="D148" s="1" t="s">
        <v>367</v>
      </c>
      <c r="E148" s="3" t="s">
        <v>369</v>
      </c>
      <c r="F148" s="6" t="s">
        <v>370</v>
      </c>
      <c r="G148" s="9" t="s">
        <v>361</v>
      </c>
      <c r="H148" s="8" t="s">
        <v>124</v>
      </c>
    </row>
    <row r="149" spans="1:7" ht="12.75">
      <c r="A149" s="1" t="s">
        <v>334</v>
      </c>
      <c r="B149" s="4">
        <v>36530</v>
      </c>
      <c r="C149" s="1" t="s">
        <v>391</v>
      </c>
      <c r="D149" s="6" t="s">
        <v>368</v>
      </c>
      <c r="E149" s="3">
        <v>50.6</v>
      </c>
      <c r="F149" s="3">
        <v>23.05</v>
      </c>
      <c r="G149" s="62">
        <f>+E149*F149</f>
        <v>1166.3300000000002</v>
      </c>
    </row>
    <row r="150" spans="1:7" ht="12.75">
      <c r="A150" s="1" t="s">
        <v>334</v>
      </c>
      <c r="B150" s="4">
        <v>36536</v>
      </c>
      <c r="C150" s="1" t="s">
        <v>391</v>
      </c>
      <c r="D150" s="6" t="s">
        <v>368</v>
      </c>
      <c r="E150" s="3">
        <v>40</v>
      </c>
      <c r="F150" s="3">
        <v>22.81</v>
      </c>
      <c r="G150" s="63">
        <f>+E150*F150</f>
        <v>912.4</v>
      </c>
    </row>
    <row r="151" spans="1:7" ht="12.75">
      <c r="A151" s="1" t="s">
        <v>334</v>
      </c>
      <c r="B151" s="4">
        <v>36547</v>
      </c>
      <c r="C151" s="1" t="s">
        <v>391</v>
      </c>
      <c r="D151" s="6" t="s">
        <v>368</v>
      </c>
      <c r="E151" s="3">
        <v>99.9</v>
      </c>
      <c r="F151" s="3">
        <v>22.81</v>
      </c>
      <c r="G151" s="63">
        <f aca="true" t="shared" si="5" ref="G151:G174">+E151*F151</f>
        <v>2278.719</v>
      </c>
    </row>
    <row r="152" spans="1:7" ht="12.75">
      <c r="A152" s="1" t="s">
        <v>334</v>
      </c>
      <c r="B152" s="4">
        <v>36558</v>
      </c>
      <c r="C152" s="1" t="s">
        <v>391</v>
      </c>
      <c r="D152" s="6" t="s">
        <v>368</v>
      </c>
      <c r="E152" s="3">
        <v>102</v>
      </c>
      <c r="F152" s="3">
        <v>22.86</v>
      </c>
      <c r="G152" s="63">
        <f t="shared" si="5"/>
        <v>2331.72</v>
      </c>
    </row>
    <row r="153" spans="1:7" ht="12.75">
      <c r="A153" s="1" t="s">
        <v>334</v>
      </c>
      <c r="B153" s="4">
        <v>36578</v>
      </c>
      <c r="C153" s="1" t="s">
        <v>391</v>
      </c>
      <c r="D153" s="6" t="s">
        <v>368</v>
      </c>
      <c r="E153" s="3">
        <v>49.9</v>
      </c>
      <c r="F153" s="3">
        <v>22.33</v>
      </c>
      <c r="G153" s="63">
        <f t="shared" si="5"/>
        <v>1114.2669999999998</v>
      </c>
    </row>
    <row r="154" spans="1:7" ht="12.75">
      <c r="A154" s="1" t="s">
        <v>334</v>
      </c>
      <c r="B154" s="4">
        <v>36586</v>
      </c>
      <c r="C154" s="1" t="s">
        <v>391</v>
      </c>
      <c r="D154" s="6" t="s">
        <v>368</v>
      </c>
      <c r="E154" s="3">
        <v>91</v>
      </c>
      <c r="F154" s="3">
        <v>22.53</v>
      </c>
      <c r="G154" s="63">
        <f t="shared" si="5"/>
        <v>2050.23</v>
      </c>
    </row>
    <row r="155" spans="1:7" ht="12.75">
      <c r="A155" s="1" t="s">
        <v>334</v>
      </c>
      <c r="B155" s="4">
        <v>36600</v>
      </c>
      <c r="C155" s="1" t="s">
        <v>391</v>
      </c>
      <c r="D155" s="6" t="s">
        <v>368</v>
      </c>
      <c r="E155" s="3">
        <v>123.1</v>
      </c>
      <c r="F155" s="3">
        <v>22.33</v>
      </c>
      <c r="G155" s="63">
        <f t="shared" si="5"/>
        <v>2748.823</v>
      </c>
    </row>
    <row r="156" spans="1:7" ht="12.75">
      <c r="A156" s="1" t="s">
        <v>334</v>
      </c>
      <c r="B156" s="4">
        <v>36615</v>
      </c>
      <c r="C156" s="1" t="s">
        <v>391</v>
      </c>
      <c r="D156" s="6" t="s">
        <v>368</v>
      </c>
      <c r="E156" s="3">
        <v>5</v>
      </c>
      <c r="F156" s="3">
        <v>22.09</v>
      </c>
      <c r="G156" s="63">
        <f t="shared" si="5"/>
        <v>110.45</v>
      </c>
    </row>
    <row r="157" spans="1:7" ht="12.75">
      <c r="A157" s="1" t="s">
        <v>334</v>
      </c>
      <c r="B157" s="4">
        <v>36618</v>
      </c>
      <c r="C157" s="1" t="s">
        <v>391</v>
      </c>
      <c r="D157" s="6" t="s">
        <v>368</v>
      </c>
      <c r="E157" s="3">
        <v>100.6</v>
      </c>
      <c r="F157" s="3">
        <v>22.62</v>
      </c>
      <c r="G157" s="63">
        <f t="shared" si="5"/>
        <v>2275.572</v>
      </c>
    </row>
    <row r="158" spans="1:7" ht="12.75">
      <c r="A158" s="1" t="s">
        <v>334</v>
      </c>
      <c r="B158" s="4">
        <v>36634</v>
      </c>
      <c r="C158" s="1" t="s">
        <v>391</v>
      </c>
      <c r="D158" s="6" t="s">
        <v>368</v>
      </c>
      <c r="E158" s="3">
        <v>101.7</v>
      </c>
      <c r="F158" s="3">
        <v>23.53</v>
      </c>
      <c r="G158" s="63">
        <f t="shared" si="5"/>
        <v>2393.001</v>
      </c>
    </row>
    <row r="159" spans="1:7" ht="12.75">
      <c r="A159" s="1" t="s">
        <v>334</v>
      </c>
      <c r="B159" s="4">
        <v>36649</v>
      </c>
      <c r="C159" s="1" t="s">
        <v>391</v>
      </c>
      <c r="D159" s="6" t="s">
        <v>368</v>
      </c>
      <c r="E159" s="3">
        <v>100.6</v>
      </c>
      <c r="F159" s="3">
        <v>24.02</v>
      </c>
      <c r="G159" s="63">
        <f t="shared" si="5"/>
        <v>2416.412</v>
      </c>
    </row>
    <row r="160" spans="1:7" ht="12.75">
      <c r="A160" s="1" t="s">
        <v>334</v>
      </c>
      <c r="B160" s="4">
        <v>36667</v>
      </c>
      <c r="C160" s="1" t="s">
        <v>391</v>
      </c>
      <c r="D160" s="6" t="s">
        <v>368</v>
      </c>
      <c r="E160" s="3">
        <v>92.9</v>
      </c>
      <c r="F160" s="3">
        <v>23.53</v>
      </c>
      <c r="G160" s="63">
        <f t="shared" si="5"/>
        <v>2185.9370000000004</v>
      </c>
    </row>
    <row r="161" spans="1:7" ht="12.75">
      <c r="A161" s="1" t="s">
        <v>334</v>
      </c>
      <c r="B161" s="4">
        <v>36685</v>
      </c>
      <c r="C161" s="1" t="s">
        <v>391</v>
      </c>
      <c r="D161" s="6" t="s">
        <v>368</v>
      </c>
      <c r="E161" s="3">
        <v>80</v>
      </c>
      <c r="F161" s="3">
        <v>22.86</v>
      </c>
      <c r="G161" s="63">
        <f t="shared" si="5"/>
        <v>1828.8</v>
      </c>
    </row>
    <row r="162" spans="1:7" ht="12.75">
      <c r="A162" s="1" t="s">
        <v>334</v>
      </c>
      <c r="B162" s="4">
        <v>36703</v>
      </c>
      <c r="C162" s="1" t="s">
        <v>391</v>
      </c>
      <c r="D162" s="6" t="s">
        <v>368</v>
      </c>
      <c r="E162" s="3">
        <v>78.4</v>
      </c>
      <c r="F162" s="3">
        <v>23.05</v>
      </c>
      <c r="G162" s="63">
        <f t="shared" si="5"/>
        <v>1807.1200000000001</v>
      </c>
    </row>
    <row r="163" spans="1:7" ht="12.75">
      <c r="A163" s="1" t="s">
        <v>334</v>
      </c>
      <c r="B163" s="4">
        <v>36711</v>
      </c>
      <c r="C163" s="1" t="s">
        <v>391</v>
      </c>
      <c r="D163" s="6" t="s">
        <v>368</v>
      </c>
      <c r="E163" s="3">
        <v>90</v>
      </c>
      <c r="F163" s="3">
        <v>22.81</v>
      </c>
      <c r="G163" s="63">
        <f t="shared" si="5"/>
        <v>2052.9</v>
      </c>
    </row>
    <row r="164" spans="1:7" ht="12.75">
      <c r="A164" s="1" t="s">
        <v>334</v>
      </c>
      <c r="B164" s="4">
        <v>36731</v>
      </c>
      <c r="C164" s="1" t="s">
        <v>391</v>
      </c>
      <c r="D164" s="6" t="s">
        <v>368</v>
      </c>
      <c r="E164" s="3">
        <v>87</v>
      </c>
      <c r="F164" s="3">
        <v>23.29</v>
      </c>
      <c r="G164" s="63">
        <f t="shared" si="5"/>
        <v>2026.23</v>
      </c>
    </row>
    <row r="165" spans="1:7" ht="12.75">
      <c r="A165" s="1" t="s">
        <v>334</v>
      </c>
      <c r="B165" s="4">
        <v>36745</v>
      </c>
      <c r="C165" s="1" t="s">
        <v>391</v>
      </c>
      <c r="D165" s="6" t="s">
        <v>368</v>
      </c>
      <c r="E165" s="3">
        <v>80.8</v>
      </c>
      <c r="F165" s="3">
        <v>22.81</v>
      </c>
      <c r="G165" s="63">
        <f t="shared" si="5"/>
        <v>1843.0479999999998</v>
      </c>
    </row>
    <row r="166" spans="1:7" ht="12.75">
      <c r="A166" s="1" t="s">
        <v>334</v>
      </c>
      <c r="B166" s="4">
        <v>36764</v>
      </c>
      <c r="C166" s="1" t="s">
        <v>391</v>
      </c>
      <c r="D166" s="6" t="s">
        <v>368</v>
      </c>
      <c r="E166" s="3">
        <v>50.6</v>
      </c>
      <c r="F166" s="3">
        <v>24.02</v>
      </c>
      <c r="G166" s="63">
        <f t="shared" si="5"/>
        <v>1215.412</v>
      </c>
    </row>
    <row r="167" spans="1:7" ht="12.75">
      <c r="A167" s="1" t="s">
        <v>334</v>
      </c>
      <c r="B167" s="4">
        <v>36777</v>
      </c>
      <c r="C167" s="1" t="s">
        <v>391</v>
      </c>
      <c r="D167" s="6" t="s">
        <v>368</v>
      </c>
      <c r="E167" s="3">
        <v>95.4</v>
      </c>
      <c r="F167" s="3">
        <v>22.81</v>
      </c>
      <c r="G167" s="63">
        <f t="shared" si="5"/>
        <v>2176.074</v>
      </c>
    </row>
    <row r="168" spans="1:7" ht="12.75">
      <c r="A168" s="1" t="s">
        <v>334</v>
      </c>
      <c r="B168" s="4">
        <v>36795</v>
      </c>
      <c r="C168" s="1" t="s">
        <v>391</v>
      </c>
      <c r="D168" s="6" t="s">
        <v>368</v>
      </c>
      <c r="E168" s="3">
        <v>78.4</v>
      </c>
      <c r="F168" s="3">
        <v>22.81</v>
      </c>
      <c r="G168" s="63">
        <f t="shared" si="5"/>
        <v>1788.304</v>
      </c>
    </row>
    <row r="169" spans="1:7" ht="12.75">
      <c r="A169" s="1" t="s">
        <v>334</v>
      </c>
      <c r="B169" s="4">
        <v>36803</v>
      </c>
      <c r="C169" s="1" t="s">
        <v>391</v>
      </c>
      <c r="D169" s="6" t="s">
        <v>368</v>
      </c>
      <c r="E169" s="3">
        <v>90</v>
      </c>
      <c r="F169" s="3">
        <v>22.81</v>
      </c>
      <c r="G169" s="63">
        <f t="shared" si="5"/>
        <v>2052.9</v>
      </c>
    </row>
    <row r="170" spans="1:7" ht="12.75">
      <c r="A170" s="1" t="s">
        <v>334</v>
      </c>
      <c r="B170" s="4">
        <v>36823</v>
      </c>
      <c r="C170" s="1" t="s">
        <v>391</v>
      </c>
      <c r="D170" s="6" t="s">
        <v>368</v>
      </c>
      <c r="E170" s="3">
        <v>87</v>
      </c>
      <c r="F170" s="3">
        <v>22.57</v>
      </c>
      <c r="G170" s="63">
        <f t="shared" si="5"/>
        <v>1963.59</v>
      </c>
    </row>
    <row r="171" spans="1:7" ht="12.75">
      <c r="A171" s="1" t="s">
        <v>334</v>
      </c>
      <c r="B171" s="4">
        <v>36837</v>
      </c>
      <c r="C171" s="1" t="s">
        <v>391</v>
      </c>
      <c r="D171" s="6" t="s">
        <v>368</v>
      </c>
      <c r="E171" s="3">
        <v>89.5</v>
      </c>
      <c r="F171" s="3">
        <v>22.48</v>
      </c>
      <c r="G171" s="63">
        <f t="shared" si="5"/>
        <v>2011.96</v>
      </c>
    </row>
    <row r="172" spans="1:7" ht="12.75">
      <c r="A172" s="1" t="s">
        <v>334</v>
      </c>
      <c r="B172" s="4">
        <v>36856</v>
      </c>
      <c r="C172" s="1" t="s">
        <v>391</v>
      </c>
      <c r="D172" s="6" t="s">
        <v>368</v>
      </c>
      <c r="E172" s="3">
        <v>84.5</v>
      </c>
      <c r="F172" s="3">
        <v>22.33</v>
      </c>
      <c r="G172" s="63">
        <f t="shared" si="5"/>
        <v>1886.8849999999998</v>
      </c>
    </row>
    <row r="173" spans="1:7" ht="12.75">
      <c r="A173" s="1" t="s">
        <v>334</v>
      </c>
      <c r="B173" s="4">
        <v>36863</v>
      </c>
      <c r="C173" s="1" t="s">
        <v>391</v>
      </c>
      <c r="D173" s="6" t="s">
        <v>368</v>
      </c>
      <c r="E173" s="3">
        <v>100.6</v>
      </c>
      <c r="F173" s="3">
        <v>22.33</v>
      </c>
      <c r="G173" s="63">
        <f t="shared" si="5"/>
        <v>2246.3979999999997</v>
      </c>
    </row>
    <row r="174" spans="1:7" ht="12.75">
      <c r="A174" s="1" t="s">
        <v>334</v>
      </c>
      <c r="B174" s="4">
        <v>36881</v>
      </c>
      <c r="C174" s="1" t="s">
        <v>391</v>
      </c>
      <c r="D174" s="6" t="s">
        <v>368</v>
      </c>
      <c r="E174" s="3">
        <v>92.9</v>
      </c>
      <c r="F174" s="3">
        <v>22.26</v>
      </c>
      <c r="G174" s="63">
        <f t="shared" si="5"/>
        <v>2067.954</v>
      </c>
    </row>
    <row r="175" spans="2:8" ht="12.75">
      <c r="B175" s="4">
        <v>36891</v>
      </c>
      <c r="C175" s="1" t="s">
        <v>406</v>
      </c>
      <c r="D175" s="6" t="s">
        <v>368</v>
      </c>
      <c r="E175" s="3">
        <f>SUM(E149:E174)</f>
        <v>2142.4000000000005</v>
      </c>
      <c r="F175" s="3">
        <f>+H175/E175</f>
        <v>22.8488778939507</v>
      </c>
      <c r="G175" s="65"/>
      <c r="H175" s="12">
        <f>+G176</f>
        <v>48951.435999999994</v>
      </c>
    </row>
    <row r="176" spans="2:8" ht="12.75">
      <c r="B176" s="4"/>
      <c r="C176" s="1" t="s">
        <v>363</v>
      </c>
      <c r="G176" s="63">
        <f>SUM(G149:G175)</f>
        <v>48951.435999999994</v>
      </c>
      <c r="H176" s="3">
        <f>SUM(H149:H175)</f>
        <v>48951.435999999994</v>
      </c>
    </row>
    <row r="177" ht="12.75">
      <c r="B177" s="4"/>
    </row>
    <row r="178" spans="7:8" ht="12.75">
      <c r="G178" s="213" t="s">
        <v>364</v>
      </c>
      <c r="H178" s="213"/>
    </row>
    <row r="179" spans="7:8" ht="12.75">
      <c r="G179" s="214" t="s">
        <v>394</v>
      </c>
      <c r="H179" s="214"/>
    </row>
    <row r="180" spans="1:8" ht="12.75">
      <c r="A180" s="1" t="s">
        <v>245</v>
      </c>
      <c r="B180" s="6" t="s">
        <v>125</v>
      </c>
      <c r="C180" s="1" t="s">
        <v>366</v>
      </c>
      <c r="D180" s="1" t="s">
        <v>367</v>
      </c>
      <c r="E180" s="3" t="s">
        <v>369</v>
      </c>
      <c r="F180" s="6" t="s">
        <v>370</v>
      </c>
      <c r="G180" s="9" t="s">
        <v>361</v>
      </c>
      <c r="H180" s="8" t="s">
        <v>124</v>
      </c>
    </row>
    <row r="181" spans="1:7" ht="12.75">
      <c r="A181" s="1" t="s">
        <v>334</v>
      </c>
      <c r="B181" s="4">
        <v>36556</v>
      </c>
      <c r="C181" s="1" t="s">
        <v>394</v>
      </c>
      <c r="D181" s="6" t="s">
        <v>368</v>
      </c>
      <c r="E181" s="3">
        <v>11</v>
      </c>
      <c r="F181" s="3">
        <v>24.98</v>
      </c>
      <c r="G181" s="62">
        <f>+E181*F181</f>
        <v>274.78000000000003</v>
      </c>
    </row>
    <row r="182" spans="1:7" ht="12.75">
      <c r="A182" s="1" t="s">
        <v>334</v>
      </c>
      <c r="B182" s="4">
        <v>36584</v>
      </c>
      <c r="C182" s="1" t="s">
        <v>394</v>
      </c>
      <c r="D182" s="6" t="s">
        <v>368</v>
      </c>
      <c r="E182" s="3">
        <v>12.5</v>
      </c>
      <c r="F182" s="3">
        <v>24.74</v>
      </c>
      <c r="G182" s="63">
        <f>+E182*F182</f>
        <v>309.25</v>
      </c>
    </row>
    <row r="183" spans="1:7" ht="12.75">
      <c r="A183" s="1" t="s">
        <v>334</v>
      </c>
      <c r="B183" s="4">
        <v>36590</v>
      </c>
      <c r="C183" s="1" t="s">
        <v>394</v>
      </c>
      <c r="D183" s="6" t="s">
        <v>368</v>
      </c>
      <c r="E183" s="3">
        <v>4</v>
      </c>
      <c r="F183" s="3">
        <v>22.09</v>
      </c>
      <c r="G183" s="63">
        <f aca="true" t="shared" si="6" ref="G183:G188">+E183*F183</f>
        <v>88.36</v>
      </c>
    </row>
    <row r="184" spans="1:7" ht="12.75">
      <c r="A184" s="1" t="s">
        <v>334</v>
      </c>
      <c r="B184" s="4">
        <v>36652</v>
      </c>
      <c r="C184" s="1" t="s">
        <v>394</v>
      </c>
      <c r="D184" s="6" t="s">
        <v>368</v>
      </c>
      <c r="E184" s="3">
        <v>5</v>
      </c>
      <c r="F184" s="3">
        <v>22.09</v>
      </c>
      <c r="G184" s="63">
        <f t="shared" si="6"/>
        <v>110.45</v>
      </c>
    </row>
    <row r="185" spans="1:7" ht="12.75">
      <c r="A185" s="1" t="s">
        <v>334</v>
      </c>
      <c r="B185" s="4">
        <v>36690</v>
      </c>
      <c r="C185" s="1" t="s">
        <v>394</v>
      </c>
      <c r="D185" s="6" t="s">
        <v>368</v>
      </c>
      <c r="E185" s="3">
        <v>5</v>
      </c>
      <c r="F185" s="3">
        <v>22.09</v>
      </c>
      <c r="G185" s="63">
        <f t="shared" si="6"/>
        <v>110.45</v>
      </c>
    </row>
    <row r="186" spans="1:7" ht="12.75">
      <c r="A186" s="1" t="s">
        <v>334</v>
      </c>
      <c r="B186" s="4">
        <v>36736</v>
      </c>
      <c r="C186" s="1" t="s">
        <v>394</v>
      </c>
      <c r="D186" s="6" t="s">
        <v>368</v>
      </c>
      <c r="E186" s="3">
        <v>5</v>
      </c>
      <c r="F186" s="3">
        <v>22.09</v>
      </c>
      <c r="G186" s="63">
        <f t="shared" si="6"/>
        <v>110.45</v>
      </c>
    </row>
    <row r="187" spans="1:7" ht="12.75">
      <c r="A187" s="1" t="s">
        <v>334</v>
      </c>
      <c r="B187" s="4">
        <v>36798</v>
      </c>
      <c r="C187" s="1" t="s">
        <v>394</v>
      </c>
      <c r="D187" s="6" t="s">
        <v>368</v>
      </c>
      <c r="E187" s="3">
        <v>5</v>
      </c>
      <c r="F187" s="3">
        <v>22.09</v>
      </c>
      <c r="G187" s="63">
        <f t="shared" si="6"/>
        <v>110.45</v>
      </c>
    </row>
    <row r="188" spans="1:7" ht="12.75">
      <c r="A188" s="1" t="s">
        <v>334</v>
      </c>
      <c r="B188" s="4">
        <v>36859</v>
      </c>
      <c r="C188" s="1" t="s">
        <v>394</v>
      </c>
      <c r="D188" s="6" t="s">
        <v>368</v>
      </c>
      <c r="E188" s="3">
        <v>5</v>
      </c>
      <c r="F188" s="3">
        <v>22.09</v>
      </c>
      <c r="G188" s="63">
        <f t="shared" si="6"/>
        <v>110.45</v>
      </c>
    </row>
    <row r="189" spans="2:8" ht="12.75">
      <c r="B189" s="4">
        <v>36891</v>
      </c>
      <c r="C189" s="1" t="s">
        <v>407</v>
      </c>
      <c r="D189" s="6" t="s">
        <v>368</v>
      </c>
      <c r="E189" s="3">
        <f>SUM(E181:E188)</f>
        <v>52.5</v>
      </c>
      <c r="F189" s="3">
        <f>+H189/E189</f>
        <v>23.326476190476193</v>
      </c>
      <c r="G189" s="65"/>
      <c r="H189" s="12">
        <f>+G190</f>
        <v>1224.64</v>
      </c>
    </row>
    <row r="190" spans="2:8" ht="12.75">
      <c r="B190" s="4"/>
      <c r="C190" s="1" t="s">
        <v>363</v>
      </c>
      <c r="F190" s="3"/>
      <c r="G190" s="63">
        <f>SUM(G181:G189)</f>
        <v>1224.64</v>
      </c>
      <c r="H190" s="3">
        <f>SUM(H181:H189)</f>
        <v>1224.64</v>
      </c>
    </row>
    <row r="191" ht="12.75">
      <c r="B191" s="4"/>
    </row>
    <row r="192" ht="12.75">
      <c r="B192" s="4"/>
    </row>
    <row r="193" spans="5:8" ht="12.75">
      <c r="E193" s="3">
        <f>+G199+G206</f>
        <v>8394.34</v>
      </c>
      <c r="G193" s="213" t="s">
        <v>364</v>
      </c>
      <c r="H193" s="213"/>
    </row>
    <row r="194" spans="7:8" ht="12.75">
      <c r="G194" s="214" t="s">
        <v>404</v>
      </c>
      <c r="H194" s="214"/>
    </row>
    <row r="195" spans="1:8" ht="12.75">
      <c r="A195" s="1" t="s">
        <v>245</v>
      </c>
      <c r="B195" s="6" t="s">
        <v>125</v>
      </c>
      <c r="C195" s="1" t="s">
        <v>366</v>
      </c>
      <c r="D195" s="1" t="s">
        <v>367</v>
      </c>
      <c r="E195" s="3" t="s">
        <v>369</v>
      </c>
      <c r="F195" s="6" t="s">
        <v>370</v>
      </c>
      <c r="G195" s="9" t="s">
        <v>361</v>
      </c>
      <c r="H195" s="8" t="s">
        <v>124</v>
      </c>
    </row>
    <row r="196" spans="1:7" ht="12.75">
      <c r="A196" s="1" t="s">
        <v>321</v>
      </c>
      <c r="B196" s="4">
        <v>36836</v>
      </c>
      <c r="C196" s="1" t="s">
        <v>322</v>
      </c>
      <c r="D196" s="6" t="s">
        <v>368</v>
      </c>
      <c r="E196" s="3">
        <v>614</v>
      </c>
      <c r="F196" s="3">
        <v>11.31</v>
      </c>
      <c r="G196" s="62">
        <f>+E196*F196</f>
        <v>6944.34</v>
      </c>
    </row>
    <row r="197" spans="1:8" ht="12.75">
      <c r="A197" s="1" t="s">
        <v>321</v>
      </c>
      <c r="B197" s="4">
        <v>36891</v>
      </c>
      <c r="C197" s="1" t="s">
        <v>412</v>
      </c>
      <c r="D197" s="6" t="s">
        <v>368</v>
      </c>
      <c r="E197" s="3">
        <v>63.75</v>
      </c>
      <c r="F197" s="3">
        <v>11.28</v>
      </c>
      <c r="G197" s="63"/>
      <c r="H197" s="3">
        <f>+E197*F197</f>
        <v>719.0999999999999</v>
      </c>
    </row>
    <row r="198" spans="2:8" ht="12.75">
      <c r="B198" s="4">
        <v>36891</v>
      </c>
      <c r="C198" s="1" t="s">
        <v>408</v>
      </c>
      <c r="D198" s="6" t="s">
        <v>368</v>
      </c>
      <c r="E198" s="3">
        <f>+E196-E197</f>
        <v>550.25</v>
      </c>
      <c r="F198" s="3">
        <f>+H198/E198</f>
        <v>11.313475692866879</v>
      </c>
      <c r="G198" s="65"/>
      <c r="H198" s="12">
        <f>+G199-H197</f>
        <v>6225.24</v>
      </c>
    </row>
    <row r="199" spans="2:8" ht="12.75">
      <c r="B199" s="4"/>
      <c r="C199" s="1" t="s">
        <v>363</v>
      </c>
      <c r="F199" s="3"/>
      <c r="G199" s="63">
        <f>SUM(G196:G198)</f>
        <v>6944.34</v>
      </c>
      <c r="H199" s="3">
        <f>SUM(H196:H198)</f>
        <v>6944.34</v>
      </c>
    </row>
    <row r="200" ht="12.75">
      <c r="B200" s="4"/>
    </row>
    <row r="201" spans="7:8" ht="12.75">
      <c r="G201" s="213" t="s">
        <v>364</v>
      </c>
      <c r="H201" s="213"/>
    </row>
    <row r="202" spans="7:8" ht="12.75">
      <c r="G202" s="214" t="s">
        <v>405</v>
      </c>
      <c r="H202" s="214"/>
    </row>
    <row r="203" spans="1:8" ht="12.75">
      <c r="A203" s="1" t="s">
        <v>245</v>
      </c>
      <c r="B203" s="6" t="s">
        <v>125</v>
      </c>
      <c r="C203" s="1" t="s">
        <v>366</v>
      </c>
      <c r="D203" s="1" t="s">
        <v>367</v>
      </c>
      <c r="E203" s="3" t="s">
        <v>369</v>
      </c>
      <c r="F203" s="6" t="s">
        <v>370</v>
      </c>
      <c r="G203" s="9" t="s">
        <v>361</v>
      </c>
      <c r="H203" s="8" t="s">
        <v>124</v>
      </c>
    </row>
    <row r="204" spans="1:7" ht="12.75">
      <c r="A204" s="1" t="s">
        <v>323</v>
      </c>
      <c r="B204" s="4">
        <v>36838</v>
      </c>
      <c r="C204" s="1" t="s">
        <v>324</v>
      </c>
      <c r="E204" s="3">
        <v>232</v>
      </c>
      <c r="F204" s="3">
        <v>6.25</v>
      </c>
      <c r="G204" s="62">
        <f>+E204*F204</f>
        <v>1450</v>
      </c>
    </row>
    <row r="205" spans="2:8" ht="12.75">
      <c r="B205" s="4">
        <v>36891</v>
      </c>
      <c r="C205" s="1" t="s">
        <v>409</v>
      </c>
      <c r="D205" s="6" t="s">
        <v>368</v>
      </c>
      <c r="E205" s="3">
        <f>SUM(E204:E204)</f>
        <v>232</v>
      </c>
      <c r="F205" s="3">
        <f>+H205/E205</f>
        <v>6.25</v>
      </c>
      <c r="G205" s="65"/>
      <c r="H205" s="12">
        <f>+G206</f>
        <v>1450</v>
      </c>
    </row>
    <row r="206" spans="2:8" ht="12.75">
      <c r="B206" s="4"/>
      <c r="C206" s="1" t="s">
        <v>363</v>
      </c>
      <c r="F206" s="3"/>
      <c r="G206" s="63">
        <f>SUM(G204:G205)</f>
        <v>1450</v>
      </c>
      <c r="H206" s="3">
        <f>SUM(H204:H205)</f>
        <v>1450</v>
      </c>
    </row>
  </sheetData>
  <mergeCells count="24">
    <mergeCell ref="G193:H193"/>
    <mergeCell ref="G194:H194"/>
    <mergeCell ref="G201:H201"/>
    <mergeCell ref="G202:H202"/>
    <mergeCell ref="G146:H146"/>
    <mergeCell ref="G147:H147"/>
    <mergeCell ref="G178:H178"/>
    <mergeCell ref="G179:H179"/>
    <mergeCell ref="G99:H99"/>
    <mergeCell ref="G100:H100"/>
    <mergeCell ref="G111:H111"/>
    <mergeCell ref="G112:H112"/>
    <mergeCell ref="G59:H59"/>
    <mergeCell ref="G60:H60"/>
    <mergeCell ref="G70:H70"/>
    <mergeCell ref="G71:H71"/>
    <mergeCell ref="G32:H32"/>
    <mergeCell ref="G33:H33"/>
    <mergeCell ref="G46:H46"/>
    <mergeCell ref="G47:H47"/>
    <mergeCell ref="G1:H1"/>
    <mergeCell ref="G2:H2"/>
    <mergeCell ref="G15:H15"/>
    <mergeCell ref="G16:H16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24">
    <pageSetUpPr fitToPage="1"/>
  </sheetPr>
  <dimension ref="A1:Z29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1" bestFit="1" customWidth="1"/>
    <col min="2" max="2" width="10.140625" style="1" bestFit="1" customWidth="1"/>
    <col min="3" max="3" width="13.7109375" style="1" customWidth="1"/>
    <col min="4" max="4" width="3.00390625" style="1" customWidth="1"/>
    <col min="5" max="5" width="8.7109375" style="3" customWidth="1"/>
    <col min="6" max="6" width="7.7109375" style="1" customWidth="1"/>
    <col min="7" max="16" width="7.8515625" style="1" customWidth="1"/>
    <col min="17" max="17" width="7.8515625" style="3" customWidth="1"/>
    <col min="18" max="20" width="7.8515625" style="1" customWidth="1"/>
    <col min="21" max="21" width="1.7109375" style="1" customWidth="1"/>
    <col min="22" max="25" width="5.7109375" style="1" customWidth="1"/>
    <col min="26" max="26" width="25.7109375" style="1" customWidth="1"/>
  </cols>
  <sheetData>
    <row r="1" spans="1:26" ht="12.75">
      <c r="A1" s="1" t="s">
        <v>245</v>
      </c>
      <c r="B1" s="1" t="s">
        <v>125</v>
      </c>
      <c r="C1" s="1" t="s">
        <v>257</v>
      </c>
      <c r="D1" s="1" t="s">
        <v>204</v>
      </c>
      <c r="E1" s="3" t="s">
        <v>205</v>
      </c>
      <c r="F1" s="1" t="s">
        <v>258</v>
      </c>
      <c r="G1" s="1" t="s">
        <v>279</v>
      </c>
      <c r="H1" s="1" t="s">
        <v>244</v>
      </c>
      <c r="I1" s="1" t="s">
        <v>280</v>
      </c>
      <c r="J1" s="1" t="s">
        <v>281</v>
      </c>
      <c r="K1" s="1" t="s">
        <v>282</v>
      </c>
      <c r="L1" s="1" t="s">
        <v>270</v>
      </c>
      <c r="M1" s="1" t="s">
        <v>271</v>
      </c>
      <c r="N1" s="1" t="s">
        <v>283</v>
      </c>
      <c r="O1" s="1" t="s">
        <v>272</v>
      </c>
      <c r="P1" s="1" t="s">
        <v>273</v>
      </c>
      <c r="Q1" s="3" t="s">
        <v>284</v>
      </c>
      <c r="R1" s="1" t="s">
        <v>285</v>
      </c>
      <c r="S1" s="1" t="s">
        <v>286</v>
      </c>
      <c r="T1" s="1" t="s">
        <v>274</v>
      </c>
      <c r="U1" s="1" t="s">
        <v>287</v>
      </c>
      <c r="V1" s="1" t="s">
        <v>275</v>
      </c>
      <c r="W1" s="1" t="s">
        <v>276</v>
      </c>
      <c r="X1" s="1" t="s">
        <v>277</v>
      </c>
      <c r="Y1" s="1" t="s">
        <v>278</v>
      </c>
      <c r="Z1" s="1" t="s">
        <v>3</v>
      </c>
    </row>
    <row r="2" spans="1:25" ht="12.75">
      <c r="A2" s="1" t="s">
        <v>194</v>
      </c>
      <c r="B2" s="4">
        <v>36600</v>
      </c>
      <c r="C2" s="1" t="s">
        <v>418</v>
      </c>
      <c r="D2" s="1" t="s">
        <v>254</v>
      </c>
      <c r="E2" s="3">
        <v>4000</v>
      </c>
      <c r="F2" s="3">
        <f>+'magazzini prodotti'!F75</f>
        <v>0.3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f>+F2*E2</f>
        <v>1200</v>
      </c>
      <c r="T2" s="1">
        <v>0</v>
      </c>
      <c r="U2" s="1" t="s">
        <v>124</v>
      </c>
      <c r="V2" s="1">
        <v>0</v>
      </c>
      <c r="W2" s="1">
        <v>0</v>
      </c>
      <c r="X2" s="1">
        <v>0</v>
      </c>
      <c r="Y2" s="1">
        <v>0</v>
      </c>
    </row>
    <row r="3" spans="1:25" ht="12.75">
      <c r="A3" s="1" t="s">
        <v>194</v>
      </c>
      <c r="B3" s="4">
        <v>36646</v>
      </c>
      <c r="C3" s="1" t="s">
        <v>419</v>
      </c>
      <c r="E3" s="3">
        <f>+'magazzini mezzi'!E63</f>
        <v>37.71177117711771</v>
      </c>
      <c r="F3" s="3">
        <f>+'magazzini mezzi'!F63</f>
        <v>61.32</v>
      </c>
      <c r="G3" s="3">
        <f>+E3*F3</f>
        <v>2312.4858085808582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1">
        <v>0</v>
      </c>
      <c r="U3" s="1" t="s">
        <v>124</v>
      </c>
      <c r="V3" s="1">
        <v>0</v>
      </c>
      <c r="W3" s="1">
        <v>0</v>
      </c>
      <c r="X3" s="1">
        <v>0</v>
      </c>
      <c r="Y3" s="1">
        <v>0</v>
      </c>
    </row>
    <row r="4" spans="1:25" ht="12.75">
      <c r="A4" s="1" t="s">
        <v>194</v>
      </c>
      <c r="B4" s="4">
        <v>36648</v>
      </c>
      <c r="C4" s="1" t="s">
        <v>420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979.2022806736663</v>
      </c>
      <c r="Q4" s="3">
        <v>0</v>
      </c>
      <c r="R4" s="3">
        <v>0</v>
      </c>
      <c r="S4" s="3">
        <v>0</v>
      </c>
      <c r="T4" s="1">
        <v>0</v>
      </c>
      <c r="U4" s="1" t="s">
        <v>124</v>
      </c>
      <c r="V4" s="1">
        <v>0</v>
      </c>
      <c r="W4" s="1">
        <v>0</v>
      </c>
      <c r="X4" s="1">
        <v>0</v>
      </c>
      <c r="Y4" s="1">
        <v>0</v>
      </c>
    </row>
    <row r="5" spans="1:25" ht="12.75">
      <c r="A5" s="1" t="s">
        <v>194</v>
      </c>
      <c r="B5" s="4">
        <v>36705</v>
      </c>
      <c r="C5" s="1" t="s">
        <v>419</v>
      </c>
      <c r="E5" s="3">
        <f>+'magazzini mezzi'!E64</f>
        <v>2.2882288228822882</v>
      </c>
      <c r="F5" s="3">
        <f>+'magazzini mezzi'!F64</f>
        <v>61.32</v>
      </c>
      <c r="G5" s="3">
        <f>+E5*F5</f>
        <v>140.3141914191419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1">
        <v>0</v>
      </c>
      <c r="U5" s="1" t="s">
        <v>124</v>
      </c>
      <c r="V5" s="1">
        <v>0</v>
      </c>
      <c r="W5" s="1">
        <v>0</v>
      </c>
      <c r="X5" s="1">
        <v>0</v>
      </c>
      <c r="Y5" s="1">
        <v>0</v>
      </c>
    </row>
    <row r="6" spans="1:25" ht="12.75">
      <c r="A6" s="1" t="s">
        <v>194</v>
      </c>
      <c r="B6" s="4">
        <v>36707</v>
      </c>
      <c r="C6" s="1" t="s">
        <v>591</v>
      </c>
      <c r="D6" s="1" t="s">
        <v>254</v>
      </c>
      <c r="E6" s="3">
        <f>+'magazzini mezzi'!E38</f>
        <v>63.49206349206349</v>
      </c>
      <c r="F6" s="3">
        <f>+'magazzini mezzi'!F38</f>
        <v>16.43</v>
      </c>
      <c r="G6" s="3">
        <v>0</v>
      </c>
      <c r="H6" s="3">
        <f>+'magazzini mezzi'!H38</f>
        <v>1043.1746031746031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1">
        <v>0</v>
      </c>
      <c r="U6" s="1" t="s">
        <v>124</v>
      </c>
      <c r="V6" s="1">
        <v>0</v>
      </c>
      <c r="W6" s="1">
        <v>0</v>
      </c>
      <c r="X6" s="1">
        <v>0</v>
      </c>
      <c r="Y6" s="1">
        <v>0</v>
      </c>
    </row>
    <row r="7" spans="1:25" ht="12.75">
      <c r="A7" s="1" t="s">
        <v>194</v>
      </c>
      <c r="B7" s="4">
        <v>36707</v>
      </c>
      <c r="C7" s="1" t="s">
        <v>592</v>
      </c>
      <c r="D7" s="1" t="s">
        <v>254</v>
      </c>
      <c r="E7" s="3">
        <f>+'magazzini mezzi'!E37</f>
        <v>38.18181818181819</v>
      </c>
      <c r="F7" s="3">
        <f>+'magazzini mezzi'!F37</f>
        <v>20.45</v>
      </c>
      <c r="G7" s="3">
        <v>0</v>
      </c>
      <c r="H7" s="3">
        <f>+'magazzini mezzi'!H37</f>
        <v>780.8181818181819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1">
        <v>0</v>
      </c>
      <c r="U7" s="1" t="s">
        <v>124</v>
      </c>
      <c r="V7" s="1">
        <v>0</v>
      </c>
      <c r="W7" s="1">
        <v>0</v>
      </c>
      <c r="X7" s="1">
        <v>0</v>
      </c>
      <c r="Y7" s="1">
        <v>0</v>
      </c>
    </row>
    <row r="8" spans="1:25" ht="12.75">
      <c r="A8" s="1" t="s">
        <v>194</v>
      </c>
      <c r="B8" s="4">
        <v>36707</v>
      </c>
      <c r="C8" s="1" t="s">
        <v>422</v>
      </c>
      <c r="D8" s="1" t="s">
        <v>288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f>+'magazzini mezzi'!H54</f>
        <v>970.4741590790541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1">
        <v>0</v>
      </c>
      <c r="U8" s="1" t="s">
        <v>124</v>
      </c>
      <c r="V8" s="1">
        <v>0</v>
      </c>
      <c r="W8" s="1">
        <v>0</v>
      </c>
      <c r="X8" s="1">
        <v>0</v>
      </c>
      <c r="Y8" s="1">
        <v>0</v>
      </c>
    </row>
    <row r="9" spans="1:25" ht="12.75">
      <c r="A9" s="1" t="s">
        <v>194</v>
      </c>
      <c r="B9" s="4">
        <v>36862</v>
      </c>
      <c r="C9" s="1" t="s">
        <v>423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4485.693785584869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1">
        <v>0</v>
      </c>
      <c r="U9" s="1" t="s">
        <v>124</v>
      </c>
      <c r="V9" s="1">
        <v>0</v>
      </c>
      <c r="W9" s="1">
        <v>0</v>
      </c>
      <c r="X9" s="1">
        <v>0</v>
      </c>
      <c r="Y9" s="1">
        <v>0</v>
      </c>
    </row>
    <row r="10" spans="2:20" ht="12.75">
      <c r="B10" s="4"/>
      <c r="C10" s="3">
        <f>SUM(G10:S10)</f>
        <v>11912.163010330374</v>
      </c>
      <c r="F10" s="3"/>
      <c r="G10" s="61">
        <f>SUM(G2:G9)</f>
        <v>2452.8</v>
      </c>
      <c r="H10" s="61">
        <f aca="true" t="shared" si="0" ref="H10:T10">SUM(H2:H9)</f>
        <v>1823.992784992785</v>
      </c>
      <c r="I10" s="61">
        <f t="shared" si="0"/>
        <v>0</v>
      </c>
      <c r="J10" s="61">
        <f t="shared" si="0"/>
        <v>970.4741590790541</v>
      </c>
      <c r="K10" s="61">
        <f t="shared" si="0"/>
        <v>4485.693785584869</v>
      </c>
      <c r="L10" s="61">
        <f t="shared" si="0"/>
        <v>0</v>
      </c>
      <c r="M10" s="61">
        <f t="shared" si="0"/>
        <v>0</v>
      </c>
      <c r="N10" s="61">
        <f t="shared" si="0"/>
        <v>0</v>
      </c>
      <c r="O10" s="61">
        <f t="shared" si="0"/>
        <v>0</v>
      </c>
      <c r="P10" s="61">
        <f t="shared" si="0"/>
        <v>979.2022806736663</v>
      </c>
      <c r="Q10" s="61">
        <f t="shared" si="0"/>
        <v>0</v>
      </c>
      <c r="R10" s="61">
        <f t="shared" si="0"/>
        <v>0</v>
      </c>
      <c r="S10" s="61">
        <f t="shared" si="0"/>
        <v>1200</v>
      </c>
      <c r="T10" s="1">
        <f t="shared" si="0"/>
        <v>0</v>
      </c>
    </row>
    <row r="11" spans="2:17" ht="12.75">
      <c r="B11" s="4"/>
      <c r="F11" s="3"/>
      <c r="Q11" s="1"/>
    </row>
    <row r="12" spans="1:25" ht="12.75">
      <c r="A12" s="1" t="s">
        <v>196</v>
      </c>
      <c r="B12" s="4">
        <v>36463</v>
      </c>
      <c r="C12" s="1" t="s">
        <v>590</v>
      </c>
      <c r="E12" s="3">
        <v>0</v>
      </c>
      <c r="F12" s="3">
        <v>0</v>
      </c>
      <c r="G12" s="3">
        <v>287.52459416385034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1">
        <v>0</v>
      </c>
      <c r="U12" s="1" t="s">
        <v>16</v>
      </c>
      <c r="V12" s="1">
        <v>0</v>
      </c>
      <c r="W12" s="1">
        <v>0</v>
      </c>
      <c r="X12" s="1">
        <v>0</v>
      </c>
      <c r="Y12" s="1">
        <v>0</v>
      </c>
    </row>
    <row r="13" spans="1:25" ht="12.75">
      <c r="A13" s="1" t="s">
        <v>196</v>
      </c>
      <c r="B13" s="4">
        <v>36702</v>
      </c>
      <c r="C13" s="1" t="s">
        <v>423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1135.6186798949036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1">
        <v>0</v>
      </c>
      <c r="U13" s="1" t="s">
        <v>124</v>
      </c>
      <c r="V13" s="1">
        <v>0</v>
      </c>
      <c r="W13" s="1">
        <v>0</v>
      </c>
      <c r="X13" s="1">
        <v>0</v>
      </c>
      <c r="Y13" s="1">
        <v>0</v>
      </c>
    </row>
    <row r="14" spans="1:25" ht="12.75">
      <c r="A14" s="1" t="s">
        <v>196</v>
      </c>
      <c r="B14" s="4">
        <v>36814</v>
      </c>
      <c r="C14" s="1" t="s">
        <v>587</v>
      </c>
      <c r="E14" s="3">
        <f>+'magazzini mezzi'!E65</f>
        <v>430</v>
      </c>
      <c r="F14" s="3">
        <f>+'magazzini mezzi'!F65</f>
        <v>1.74</v>
      </c>
      <c r="G14" s="3">
        <f>+'magazzini mezzi'!G65</f>
        <v>748.2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1">
        <v>0</v>
      </c>
      <c r="U14" s="1" t="s">
        <v>133</v>
      </c>
      <c r="V14" s="1">
        <v>0</v>
      </c>
      <c r="W14" s="1">
        <v>0</v>
      </c>
      <c r="X14" s="1">
        <v>0</v>
      </c>
      <c r="Y14" s="1">
        <v>0</v>
      </c>
    </row>
    <row r="15" spans="1:25" ht="12.75">
      <c r="A15" s="1" t="s">
        <v>196</v>
      </c>
      <c r="B15" s="4">
        <v>36860</v>
      </c>
      <c r="C15" s="1" t="s">
        <v>588</v>
      </c>
      <c r="D15" s="1" t="s">
        <v>254</v>
      </c>
      <c r="E15" s="3">
        <v>0</v>
      </c>
      <c r="F15" s="3">
        <v>0</v>
      </c>
      <c r="G15" s="3">
        <v>0</v>
      </c>
      <c r="H15" s="3">
        <f>+'magazzini mezzi'!H41</f>
        <v>323.4818181818181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1">
        <v>0</v>
      </c>
      <c r="U15" s="1" t="s">
        <v>133</v>
      </c>
      <c r="V15" s="1">
        <v>0</v>
      </c>
      <c r="W15" s="1">
        <v>0</v>
      </c>
      <c r="X15" s="1">
        <v>0</v>
      </c>
      <c r="Y15" s="1">
        <v>0</v>
      </c>
    </row>
    <row r="16" spans="1:25" ht="12.75">
      <c r="A16" s="1" t="s">
        <v>196</v>
      </c>
      <c r="B16" s="4">
        <v>36860</v>
      </c>
      <c r="C16" s="1" t="s">
        <v>589</v>
      </c>
      <c r="D16" s="1" t="s">
        <v>288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f>+'magazzini mezzi'!H55</f>
        <v>128.05548812923817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1">
        <v>0</v>
      </c>
      <c r="U16" s="1" t="s">
        <v>133</v>
      </c>
      <c r="V16" s="1">
        <v>0</v>
      </c>
      <c r="W16" s="1">
        <v>0</v>
      </c>
      <c r="X16" s="1">
        <v>0</v>
      </c>
      <c r="Y16" s="1">
        <v>0</v>
      </c>
    </row>
    <row r="17" spans="2:19" ht="12.75">
      <c r="B17" s="4"/>
      <c r="C17" s="3">
        <f>SUM(G17:S17)</f>
        <v>2622.8805803698106</v>
      </c>
      <c r="F17" s="3"/>
      <c r="G17" s="61">
        <f>SUM(G12:G16)</f>
        <v>1035.7245941638503</v>
      </c>
      <c r="H17" s="61">
        <f aca="true" t="shared" si="1" ref="H17:S17">SUM(H12:H16)</f>
        <v>323.4818181818181</v>
      </c>
      <c r="I17" s="61">
        <f t="shared" si="1"/>
        <v>0</v>
      </c>
      <c r="J17" s="61">
        <f t="shared" si="1"/>
        <v>128.05548812923817</v>
      </c>
      <c r="K17" s="61">
        <f t="shared" si="1"/>
        <v>1135.6186798949036</v>
      </c>
      <c r="L17" s="61">
        <f t="shared" si="1"/>
        <v>0</v>
      </c>
      <c r="M17" s="61">
        <f t="shared" si="1"/>
        <v>0</v>
      </c>
      <c r="N17" s="61">
        <f t="shared" si="1"/>
        <v>0</v>
      </c>
      <c r="O17" s="61">
        <f t="shared" si="1"/>
        <v>0</v>
      </c>
      <c r="P17" s="61">
        <f t="shared" si="1"/>
        <v>0</v>
      </c>
      <c r="Q17" s="61">
        <f t="shared" si="1"/>
        <v>0</v>
      </c>
      <c r="R17" s="61">
        <f t="shared" si="1"/>
        <v>0</v>
      </c>
      <c r="S17" s="61">
        <f t="shared" si="1"/>
        <v>0</v>
      </c>
    </row>
    <row r="18" spans="2:6" ht="12.75">
      <c r="B18" s="4"/>
      <c r="C18" s="2"/>
      <c r="F18" s="3"/>
    </row>
    <row r="19" spans="1:21" ht="12.75">
      <c r="A19" s="1" t="s">
        <v>198</v>
      </c>
      <c r="B19" s="4">
        <v>36583</v>
      </c>
      <c r="C19" s="1" t="s">
        <v>418</v>
      </c>
      <c r="D19" s="1" t="s">
        <v>254</v>
      </c>
      <c r="E19" s="3">
        <f>+'magazzini prodotti'!E72</f>
        <v>800</v>
      </c>
      <c r="F19" s="3">
        <f>+'magazzini prodotti'!F72</f>
        <v>0.3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S19" s="3">
        <f>+'magazzini prodotti'!H72</f>
        <v>240</v>
      </c>
      <c r="U19" s="1" t="s">
        <v>124</v>
      </c>
    </row>
    <row r="20" spans="1:21" ht="12.75">
      <c r="A20" s="1" t="s">
        <v>198</v>
      </c>
      <c r="B20" s="4">
        <v>36814</v>
      </c>
      <c r="C20" s="1" t="s">
        <v>421</v>
      </c>
      <c r="D20" s="1" t="s">
        <v>254</v>
      </c>
      <c r="E20" s="3">
        <f>+'magazzini mezzi'!E39</f>
        <v>12.584656084656086</v>
      </c>
      <c r="F20" s="3">
        <f>+'magazzini mezzi'!F39</f>
        <v>16.43</v>
      </c>
      <c r="G20" s="3">
        <v>0</v>
      </c>
      <c r="H20" s="3">
        <f>+'magazzini mezzi'!H39</f>
        <v>206.76589947089948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U20" s="1" t="s">
        <v>124</v>
      </c>
    </row>
    <row r="21" spans="2:19" ht="12.75">
      <c r="B21" s="4"/>
      <c r="C21" s="3">
        <f>+H20+S19</f>
        <v>446.7658994708995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R21" s="3"/>
      <c r="S21" s="3"/>
    </row>
    <row r="22" spans="2:6" ht="12.75">
      <c r="B22" s="4"/>
      <c r="F22" s="3"/>
    </row>
    <row r="23" spans="1:21" ht="12.75">
      <c r="A23" s="1" t="s">
        <v>200</v>
      </c>
      <c r="B23" s="4">
        <v>36587</v>
      </c>
      <c r="C23" s="1" t="s">
        <v>418</v>
      </c>
      <c r="D23" s="1" t="s">
        <v>254</v>
      </c>
      <c r="E23" s="3">
        <f>+'magazzini prodotti'!E73</f>
        <v>5500</v>
      </c>
      <c r="F23" s="3">
        <f>+'magazzini prodotti'!F73</f>
        <v>0.3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R23" s="3"/>
      <c r="S23" s="3">
        <f>+'magazzini prodotti'!H73</f>
        <v>1650</v>
      </c>
      <c r="U23" s="1" t="s">
        <v>124</v>
      </c>
    </row>
    <row r="24" spans="1:25" ht="12.75">
      <c r="A24" s="1" t="s">
        <v>200</v>
      </c>
      <c r="B24" s="4">
        <v>36676</v>
      </c>
      <c r="C24" s="1" t="s">
        <v>420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133.8656282439949</v>
      </c>
      <c r="Q24" s="3">
        <v>0</v>
      </c>
      <c r="R24" s="3">
        <v>0</v>
      </c>
      <c r="S24" s="3">
        <v>0</v>
      </c>
      <c r="T24" s="1">
        <v>0</v>
      </c>
      <c r="U24" s="1" t="s">
        <v>124</v>
      </c>
      <c r="V24" s="1">
        <v>0</v>
      </c>
      <c r="W24" s="1">
        <v>0</v>
      </c>
      <c r="X24" s="1">
        <v>0</v>
      </c>
      <c r="Y24" s="1">
        <v>0</v>
      </c>
    </row>
    <row r="25" spans="1:25" ht="12.75">
      <c r="A25" s="1" t="s">
        <v>200</v>
      </c>
      <c r="B25" s="4">
        <v>36723</v>
      </c>
      <c r="C25" s="1" t="s">
        <v>420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368.7502259498934</v>
      </c>
      <c r="Q25" s="3">
        <v>0</v>
      </c>
      <c r="R25" s="3">
        <v>0</v>
      </c>
      <c r="S25" s="3">
        <v>0</v>
      </c>
      <c r="T25" s="1">
        <v>0</v>
      </c>
      <c r="U25" s="1" t="s">
        <v>124</v>
      </c>
      <c r="V25" s="1">
        <v>0</v>
      </c>
      <c r="W25" s="1">
        <v>0</v>
      </c>
      <c r="X25" s="1">
        <v>0</v>
      </c>
      <c r="Y25" s="1">
        <v>0</v>
      </c>
    </row>
    <row r="26" spans="1:21" ht="12.75">
      <c r="A26" s="1" t="s">
        <v>200</v>
      </c>
      <c r="B26" s="4">
        <v>36859</v>
      </c>
      <c r="C26" s="1" t="s">
        <v>421</v>
      </c>
      <c r="D26" s="1" t="s">
        <v>254</v>
      </c>
      <c r="E26" s="3">
        <f>+'magazzini mezzi'!E40</f>
        <v>62.92328042328042</v>
      </c>
      <c r="F26" s="3">
        <f>+'magazzini mezzi'!F40</f>
        <v>16.43</v>
      </c>
      <c r="G26" s="3">
        <v>0</v>
      </c>
      <c r="H26" s="3">
        <f>+'magazzini mezzi'!H40</f>
        <v>1033.8294973544973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U26" s="1" t="s">
        <v>124</v>
      </c>
    </row>
    <row r="27" spans="3:19" ht="12.75">
      <c r="C27" s="3">
        <f>SUM(G27:S27)</f>
        <v>3186.4453515483856</v>
      </c>
      <c r="G27" s="61">
        <f>SUM(G23:G26)</f>
        <v>0</v>
      </c>
      <c r="H27" s="61">
        <f aca="true" t="shared" si="2" ref="H27:S27">SUM(H23:H26)</f>
        <v>1033.8294973544973</v>
      </c>
      <c r="I27" s="61">
        <f t="shared" si="2"/>
        <v>0</v>
      </c>
      <c r="J27" s="61">
        <f t="shared" si="2"/>
        <v>0</v>
      </c>
      <c r="K27" s="61">
        <f t="shared" si="2"/>
        <v>0</v>
      </c>
      <c r="L27" s="61">
        <f t="shared" si="2"/>
        <v>0</v>
      </c>
      <c r="M27" s="61">
        <f t="shared" si="2"/>
        <v>0</v>
      </c>
      <c r="N27" s="61">
        <f t="shared" si="2"/>
        <v>0</v>
      </c>
      <c r="O27" s="61">
        <f t="shared" si="2"/>
        <v>0</v>
      </c>
      <c r="P27" s="61">
        <f t="shared" si="2"/>
        <v>502.61585419388825</v>
      </c>
      <c r="Q27" s="61">
        <f t="shared" si="2"/>
        <v>0</v>
      </c>
      <c r="R27" s="61">
        <f t="shared" si="2"/>
        <v>0</v>
      </c>
      <c r="S27" s="61">
        <f t="shared" si="2"/>
        <v>1650</v>
      </c>
    </row>
    <row r="29" spans="7:16" ht="12.75">
      <c r="G29" s="1">
        <f>+G10+G12</f>
        <v>2740.3245941638506</v>
      </c>
      <c r="H29" s="1">
        <f>+H10+H20+H26</f>
        <v>3064.5881818181815</v>
      </c>
      <c r="J29" s="1">
        <f>+J8</f>
        <v>970.4741590790541</v>
      </c>
      <c r="K29" s="1">
        <f>+K10+K17</f>
        <v>5621.312465479773</v>
      </c>
      <c r="P29" s="1">
        <f>+P10+P27</f>
        <v>1481.8181348675546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23">
    <pageSetUpPr fitToPage="1"/>
  </sheetPr>
  <dimension ref="A1:V67"/>
  <sheetViews>
    <sheetView workbookViewId="0" topLeftCell="A1">
      <selection activeCell="A1" sqref="A1"/>
    </sheetView>
  </sheetViews>
  <sheetFormatPr defaultColWidth="9.140625" defaultRowHeight="12.75"/>
  <cols>
    <col min="1" max="2" width="2.7109375" style="1" customWidth="1"/>
    <col min="3" max="3" width="10.140625" style="1" bestFit="1" customWidth="1"/>
    <col min="4" max="4" width="14.8515625" style="1" customWidth="1"/>
    <col min="5" max="5" width="8.7109375" style="3" customWidth="1"/>
    <col min="6" max="6" width="8.57421875" style="1" bestFit="1" customWidth="1"/>
    <col min="7" max="7" width="9.57421875" style="1" bestFit="1" customWidth="1"/>
    <col min="8" max="16" width="8.421875" style="1" customWidth="1"/>
    <col min="17" max="17" width="6.7109375" style="1" customWidth="1"/>
    <col min="18" max="21" width="5.7109375" style="1" customWidth="1"/>
    <col min="22" max="22" width="25.7109375" style="1" customWidth="1"/>
  </cols>
  <sheetData>
    <row r="1" spans="1:22" ht="12.75">
      <c r="A1" s="1" t="s">
        <v>159</v>
      </c>
      <c r="B1" s="1" t="s">
        <v>204</v>
      </c>
      <c r="C1" s="60" t="s">
        <v>125</v>
      </c>
      <c r="D1" s="60" t="s">
        <v>413</v>
      </c>
      <c r="E1" s="61" t="s">
        <v>205</v>
      </c>
      <c r="F1" s="60" t="s">
        <v>370</v>
      </c>
      <c r="G1" s="60" t="s">
        <v>573</v>
      </c>
      <c r="H1" s="60" t="s">
        <v>574</v>
      </c>
      <c r="I1" s="60" t="s">
        <v>575</v>
      </c>
      <c r="J1" s="60" t="s">
        <v>576</v>
      </c>
      <c r="K1" s="60" t="s">
        <v>532</v>
      </c>
      <c r="L1" s="60" t="s">
        <v>533</v>
      </c>
      <c r="M1" s="60" t="s">
        <v>577</v>
      </c>
      <c r="N1" s="60" t="s">
        <v>578</v>
      </c>
      <c r="O1" s="60" t="s">
        <v>579</v>
      </c>
      <c r="P1" s="60" t="s">
        <v>580</v>
      </c>
      <c r="Q1" s="1" t="s">
        <v>274</v>
      </c>
      <c r="R1" s="1" t="s">
        <v>275</v>
      </c>
      <c r="S1" s="1" t="s">
        <v>276</v>
      </c>
      <c r="T1" s="1" t="s">
        <v>277</v>
      </c>
      <c r="U1" s="1" t="s">
        <v>278</v>
      </c>
      <c r="V1" s="1" t="s">
        <v>3</v>
      </c>
    </row>
    <row r="2" spans="1:21" ht="12.75">
      <c r="A2" s="1" t="s">
        <v>177</v>
      </c>
      <c r="C2" s="4">
        <v>36534</v>
      </c>
      <c r="D2" s="1" t="s">
        <v>576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803.5811121382865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/>
      <c r="R2" s="3"/>
      <c r="S2" s="3"/>
      <c r="T2" s="3"/>
      <c r="U2" s="3"/>
    </row>
    <row r="3" spans="1:21" ht="12.75">
      <c r="A3" s="1" t="s">
        <v>177</v>
      </c>
      <c r="C3" s="4">
        <v>36540</v>
      </c>
      <c r="D3" s="1" t="s">
        <v>310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275.01329876515155</v>
      </c>
      <c r="M3" s="3">
        <v>0</v>
      </c>
      <c r="N3" s="3">
        <v>0</v>
      </c>
      <c r="O3" s="3">
        <v>0</v>
      </c>
      <c r="P3" s="3">
        <v>0</v>
      </c>
      <c r="Q3" s="3"/>
      <c r="R3" s="3"/>
      <c r="S3" s="3"/>
      <c r="T3" s="3"/>
      <c r="U3" s="3"/>
    </row>
    <row r="4" spans="1:21" ht="12.75">
      <c r="A4" s="1" t="s">
        <v>177</v>
      </c>
      <c r="C4" s="4">
        <v>36542</v>
      </c>
      <c r="D4" s="1" t="s">
        <v>532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761.5002040004752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/>
      <c r="R4" s="3"/>
      <c r="S4" s="3"/>
      <c r="T4" s="3"/>
      <c r="U4" s="3"/>
    </row>
    <row r="5" spans="1:21" ht="12.75">
      <c r="A5" s="1" t="s">
        <v>177</v>
      </c>
      <c r="C5" s="4">
        <v>36556</v>
      </c>
      <c r="D5" s="1" t="s">
        <v>576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68.81788180367407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/>
      <c r="R5" s="3"/>
      <c r="S5" s="3"/>
      <c r="T5" s="3"/>
      <c r="U5" s="3"/>
    </row>
    <row r="6" spans="1:21" ht="12.75">
      <c r="A6" s="1" t="s">
        <v>177</v>
      </c>
      <c r="C6" s="4">
        <v>36565</v>
      </c>
      <c r="D6" s="1" t="s">
        <v>310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330.01595851818183</v>
      </c>
      <c r="M6" s="3">
        <v>0</v>
      </c>
      <c r="N6" s="3">
        <v>0</v>
      </c>
      <c r="O6" s="3">
        <v>0</v>
      </c>
      <c r="P6" s="3">
        <v>0</v>
      </c>
      <c r="Q6" s="3"/>
      <c r="R6" s="3"/>
      <c r="S6" s="3"/>
      <c r="T6" s="3"/>
      <c r="U6" s="3"/>
    </row>
    <row r="7" spans="1:21" ht="12.75">
      <c r="A7" s="1" t="s">
        <v>177</v>
      </c>
      <c r="C7" s="4">
        <v>36569</v>
      </c>
      <c r="D7" s="1" t="s">
        <v>576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63.52419858800683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/>
      <c r="R7" s="3"/>
      <c r="S7" s="3"/>
      <c r="T7" s="3"/>
      <c r="U7" s="3"/>
    </row>
    <row r="8" spans="1:21" ht="12.75">
      <c r="A8" s="1" t="s">
        <v>177</v>
      </c>
      <c r="C8" s="4">
        <v>36570</v>
      </c>
      <c r="D8" s="1" t="s">
        <v>576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302.7986799361659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/>
      <c r="R8" s="3"/>
      <c r="S8" s="3"/>
      <c r="T8" s="3"/>
      <c r="U8" s="3"/>
    </row>
    <row r="9" spans="1:21" ht="12.75">
      <c r="A9" s="1" t="s">
        <v>177</v>
      </c>
      <c r="C9" s="4">
        <v>36571</v>
      </c>
      <c r="D9" s="1" t="s">
        <v>532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832.7867497817971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/>
      <c r="R9" s="3"/>
      <c r="S9" s="3"/>
      <c r="T9" s="3"/>
      <c r="U9" s="3"/>
    </row>
    <row r="10" spans="1:21" ht="12.75">
      <c r="A10" s="1" t="s">
        <v>177</v>
      </c>
      <c r="C10" s="4">
        <v>36573</v>
      </c>
      <c r="D10" s="1" t="s">
        <v>576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508.7229570256214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/>
      <c r="R10" s="3"/>
      <c r="S10" s="3"/>
      <c r="T10" s="3"/>
      <c r="U10" s="3"/>
    </row>
    <row r="11" spans="1:21" ht="12.75">
      <c r="A11" s="1" t="s">
        <v>177</v>
      </c>
      <c r="C11" s="4">
        <v>36576</v>
      </c>
      <c r="D11" s="1" t="s">
        <v>576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3319.1393762233574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/>
      <c r="R11" s="3"/>
      <c r="S11" s="3"/>
      <c r="T11" s="3"/>
      <c r="U11" s="3"/>
    </row>
    <row r="12" spans="1:21" ht="12.75">
      <c r="A12" s="1" t="s">
        <v>177</v>
      </c>
      <c r="C12" s="4">
        <v>36577</v>
      </c>
      <c r="D12" s="1" t="s">
        <v>576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275.2715272146963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/>
      <c r="R12" s="3"/>
      <c r="S12" s="3"/>
      <c r="T12" s="3"/>
      <c r="U12" s="3"/>
    </row>
    <row r="13" spans="1:21" ht="12.75">
      <c r="A13" s="1" t="s">
        <v>177</v>
      </c>
      <c r="C13" s="4">
        <v>36584</v>
      </c>
      <c r="D13" s="1" t="s">
        <v>576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131.8127120701142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/>
      <c r="R13" s="3"/>
      <c r="S13" s="3"/>
      <c r="T13" s="3"/>
      <c r="U13" s="3"/>
    </row>
    <row r="14" spans="1:21" ht="12.75">
      <c r="A14" s="1" t="s">
        <v>177</v>
      </c>
      <c r="C14" s="4">
        <v>36599</v>
      </c>
      <c r="D14" s="1" t="s">
        <v>576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302.7986799361659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/>
      <c r="R14" s="3"/>
      <c r="S14" s="3"/>
      <c r="T14" s="3"/>
      <c r="U14" s="3"/>
    </row>
    <row r="15" spans="1:21" ht="12.75">
      <c r="A15" s="1" t="s">
        <v>177</v>
      </c>
      <c r="C15" s="4">
        <v>36600</v>
      </c>
      <c r="D15" s="1" t="s">
        <v>576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172.04470450918515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/>
      <c r="R15" s="3"/>
      <c r="S15" s="3"/>
      <c r="T15" s="3"/>
      <c r="U15" s="3"/>
    </row>
    <row r="16" spans="1:21" ht="12.75">
      <c r="A16" s="1" t="s">
        <v>177</v>
      </c>
      <c r="C16" s="4">
        <v>36610</v>
      </c>
      <c r="D16" s="1" t="s">
        <v>576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81.52272152127544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/>
      <c r="R16" s="3"/>
      <c r="S16" s="3"/>
      <c r="T16" s="3"/>
      <c r="U16" s="3"/>
    </row>
    <row r="17" spans="1:21" ht="12.75">
      <c r="A17" s="1" t="s">
        <v>177</v>
      </c>
      <c r="C17" s="4">
        <v>36615</v>
      </c>
      <c r="D17" s="1" t="s">
        <v>576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2832.1205203819713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/>
      <c r="R17" s="3"/>
      <c r="S17" s="3"/>
      <c r="T17" s="3"/>
      <c r="U17" s="3"/>
    </row>
    <row r="18" spans="1:21" ht="12.75">
      <c r="A18" s="1" t="s">
        <v>177</v>
      </c>
      <c r="C18" s="4">
        <v>36616</v>
      </c>
      <c r="D18" s="1" t="s">
        <v>576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91.05135130947647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/>
      <c r="R18" s="3"/>
      <c r="S18" s="3"/>
      <c r="T18" s="3"/>
      <c r="U18" s="3"/>
    </row>
    <row r="19" spans="1:21" ht="12.75">
      <c r="A19" s="1" t="s">
        <v>177</v>
      </c>
      <c r="C19" s="4">
        <v>36616</v>
      </c>
      <c r="D19" s="1" t="s">
        <v>576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192.16070072872068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/>
      <c r="R19" s="3"/>
      <c r="S19" s="3"/>
      <c r="T19" s="3"/>
      <c r="U19" s="3"/>
    </row>
    <row r="20" spans="1:21" ht="12.75">
      <c r="A20" s="1" t="s">
        <v>177</v>
      </c>
      <c r="C20" s="4">
        <v>36619</v>
      </c>
      <c r="D20" s="1" t="s">
        <v>576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301.73994329303247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/>
      <c r="R20" s="3"/>
      <c r="S20" s="3"/>
      <c r="T20" s="3"/>
      <c r="U20" s="3"/>
    </row>
    <row r="21" spans="1:21" ht="12.75">
      <c r="A21" s="1" t="s">
        <v>177</v>
      </c>
      <c r="C21" s="4">
        <v>36626</v>
      </c>
      <c r="D21" s="1" t="s">
        <v>310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345.9667298465606</v>
      </c>
      <c r="M21" s="3">
        <v>0</v>
      </c>
      <c r="N21" s="3">
        <v>0</v>
      </c>
      <c r="O21" s="3">
        <v>0</v>
      </c>
      <c r="P21" s="3">
        <v>0</v>
      </c>
      <c r="Q21" s="3"/>
      <c r="R21" s="3"/>
      <c r="S21" s="3"/>
      <c r="T21" s="3"/>
      <c r="U21" s="3"/>
    </row>
    <row r="22" spans="1:21" ht="12.75">
      <c r="A22" s="1" t="s">
        <v>177</v>
      </c>
      <c r="C22" s="4">
        <v>36628</v>
      </c>
      <c r="D22" s="1" t="s">
        <v>576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791.9350090638185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/>
      <c r="R22" s="3"/>
      <c r="S22" s="3"/>
      <c r="T22" s="3"/>
      <c r="U22" s="3"/>
    </row>
    <row r="23" spans="1:21" ht="12.75">
      <c r="A23" s="1" t="s">
        <v>177</v>
      </c>
      <c r="C23" s="4">
        <v>36631</v>
      </c>
      <c r="D23" s="1" t="s">
        <v>576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149.28186668181607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/>
      <c r="R23" s="3"/>
      <c r="S23" s="3"/>
      <c r="T23" s="3"/>
      <c r="U23" s="3"/>
    </row>
    <row r="24" spans="1:21" ht="12.75">
      <c r="A24" s="1" t="s">
        <v>177</v>
      </c>
      <c r="C24" s="4">
        <v>36632</v>
      </c>
      <c r="D24" s="1" t="s">
        <v>576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454.19801990424884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/>
      <c r="R24" s="3"/>
      <c r="S24" s="3"/>
      <c r="T24" s="3"/>
      <c r="U24" s="3"/>
    </row>
    <row r="25" spans="1:21" ht="12.75">
      <c r="A25" s="1" t="s">
        <v>177</v>
      </c>
      <c r="C25" s="4">
        <v>36633</v>
      </c>
      <c r="D25" s="1" t="s">
        <v>532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634.2503886338166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/>
      <c r="R25" s="3"/>
      <c r="S25" s="3"/>
      <c r="T25" s="3"/>
      <c r="U25" s="3"/>
    </row>
    <row r="26" spans="1:21" ht="12.75">
      <c r="A26" s="1" t="s">
        <v>177</v>
      </c>
      <c r="C26" s="4">
        <v>36645</v>
      </c>
      <c r="D26" s="1" t="s">
        <v>576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263.6254241402284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/>
      <c r="R26" s="3"/>
      <c r="S26" s="3"/>
      <c r="T26" s="3"/>
      <c r="U26" s="3"/>
    </row>
    <row r="27" spans="1:21" ht="12.75">
      <c r="A27" s="1" t="s">
        <v>177</v>
      </c>
      <c r="C27" s="4">
        <v>36646</v>
      </c>
      <c r="D27" s="1" t="s">
        <v>576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307.03362650869974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/>
      <c r="R27" s="3"/>
      <c r="S27" s="3"/>
      <c r="T27" s="3"/>
      <c r="U27" s="3"/>
    </row>
    <row r="28" spans="1:21" ht="12.75">
      <c r="A28" s="1" t="s">
        <v>177</v>
      </c>
      <c r="C28" s="4">
        <v>36646</v>
      </c>
      <c r="D28" s="1" t="s">
        <v>576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353.0886704850047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/>
      <c r="R28" s="3"/>
      <c r="S28" s="3"/>
      <c r="T28" s="3"/>
      <c r="U28" s="3"/>
    </row>
    <row r="29" spans="1:21" ht="12.75">
      <c r="A29" s="1" t="s">
        <v>177</v>
      </c>
      <c r="C29" s="4">
        <v>36652</v>
      </c>
      <c r="D29" s="1" t="s">
        <v>576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65.64167187427373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/>
      <c r="R29" s="3"/>
      <c r="S29" s="3"/>
      <c r="T29" s="3"/>
      <c r="U29" s="3"/>
    </row>
    <row r="30" spans="1:21" ht="12.75">
      <c r="A30" s="1" t="s">
        <v>177</v>
      </c>
      <c r="C30" s="4">
        <v>36656</v>
      </c>
      <c r="D30" s="1" t="s">
        <v>310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330.01595851818183</v>
      </c>
      <c r="M30" s="3">
        <v>0</v>
      </c>
      <c r="N30" s="3">
        <v>0</v>
      </c>
      <c r="O30" s="3">
        <v>0</v>
      </c>
      <c r="P30" s="3">
        <v>0</v>
      </c>
      <c r="Q30" s="3"/>
      <c r="R30" s="3"/>
      <c r="S30" s="3"/>
      <c r="T30" s="3"/>
      <c r="U30" s="3"/>
    </row>
    <row r="31" spans="1:21" ht="12.75">
      <c r="A31" s="1" t="s">
        <v>177</v>
      </c>
      <c r="C31" s="4">
        <v>36669</v>
      </c>
      <c r="D31" s="1" t="s">
        <v>576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366.8522468457395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/>
      <c r="R31" s="3"/>
      <c r="S31" s="3"/>
      <c r="T31" s="3"/>
      <c r="U31" s="3"/>
    </row>
    <row r="32" spans="1:21" ht="12.75">
      <c r="A32" s="1" t="s">
        <v>177</v>
      </c>
      <c r="C32" s="4">
        <v>36677</v>
      </c>
      <c r="D32" s="1" t="s">
        <v>576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586.5401002959297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/>
      <c r="R32" s="3"/>
      <c r="S32" s="3"/>
      <c r="T32" s="3"/>
      <c r="U32" s="3"/>
    </row>
    <row r="33" spans="1:21" ht="12.75">
      <c r="A33" s="1" t="s">
        <v>177</v>
      </c>
      <c r="C33" s="4">
        <v>36677</v>
      </c>
      <c r="D33" s="1" t="s">
        <v>576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176.27965108171895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/>
      <c r="R33" s="3"/>
      <c r="S33" s="3"/>
      <c r="T33" s="3"/>
      <c r="U33" s="3"/>
    </row>
    <row r="34" spans="1:21" ht="12.75">
      <c r="A34" s="1" t="s">
        <v>177</v>
      </c>
      <c r="C34" s="4">
        <v>36688</v>
      </c>
      <c r="D34" s="1" t="s">
        <v>310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363.5675809675303</v>
      </c>
      <c r="M34" s="3">
        <v>0</v>
      </c>
      <c r="N34" s="3">
        <v>0</v>
      </c>
      <c r="O34" s="3">
        <v>0</v>
      </c>
      <c r="P34" s="3">
        <v>0</v>
      </c>
      <c r="Q34" s="3"/>
      <c r="R34" s="3"/>
      <c r="S34" s="3"/>
      <c r="T34" s="3"/>
      <c r="U34" s="3"/>
    </row>
    <row r="35" spans="1:21" ht="12.75">
      <c r="A35" s="1" t="s">
        <v>177</v>
      </c>
      <c r="C35" s="4">
        <v>36692</v>
      </c>
      <c r="D35" s="1" t="s">
        <v>576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165.6922846503845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/>
      <c r="R35" s="3"/>
      <c r="S35" s="3"/>
      <c r="T35" s="3"/>
      <c r="U35" s="3"/>
    </row>
    <row r="36" spans="1:21" ht="12.75">
      <c r="A36" s="1" t="s">
        <v>177</v>
      </c>
      <c r="C36" s="4">
        <v>36697</v>
      </c>
      <c r="D36" s="1" t="s">
        <v>576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377.43961327707393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/>
      <c r="R36" s="3"/>
      <c r="S36" s="3"/>
      <c r="T36" s="3"/>
      <c r="U36" s="3"/>
    </row>
    <row r="37" spans="1:21" ht="12.75">
      <c r="A37" s="1" t="s">
        <v>177</v>
      </c>
      <c r="C37" s="4">
        <v>36704</v>
      </c>
      <c r="D37" s="1" t="s">
        <v>576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548.4255811431257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/>
      <c r="R37" s="3"/>
      <c r="S37" s="3"/>
      <c r="T37" s="3"/>
      <c r="U37" s="3"/>
    </row>
    <row r="38" spans="1:21" ht="12.75">
      <c r="A38" s="1" t="s">
        <v>177</v>
      </c>
      <c r="C38" s="4">
        <v>36705</v>
      </c>
      <c r="D38" s="1" t="s">
        <v>581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193.59386862369402</v>
      </c>
      <c r="N38" s="3">
        <v>0</v>
      </c>
      <c r="O38" s="3">
        <v>0</v>
      </c>
      <c r="P38" s="3">
        <v>0</v>
      </c>
      <c r="Q38" s="3"/>
      <c r="R38" s="3"/>
      <c r="S38" s="3"/>
      <c r="T38" s="3"/>
      <c r="U38" s="3"/>
    </row>
    <row r="39" spans="1:21" ht="12.75">
      <c r="A39" s="1" t="s">
        <v>177</v>
      </c>
      <c r="C39" s="4">
        <v>36706</v>
      </c>
      <c r="D39" s="1" t="s">
        <v>576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1388.5331074695162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/>
      <c r="R39" s="3"/>
      <c r="S39" s="3"/>
      <c r="T39" s="3"/>
      <c r="U39" s="3"/>
    </row>
    <row r="40" spans="1:21" ht="12.75">
      <c r="A40" s="1" t="s">
        <v>177</v>
      </c>
      <c r="C40" s="4">
        <v>36706</v>
      </c>
      <c r="D40" s="1" t="s">
        <v>576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1290.0705996581055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/>
      <c r="R40" s="3"/>
      <c r="S40" s="3"/>
      <c r="T40" s="3"/>
      <c r="U40" s="3"/>
    </row>
    <row r="41" spans="1:21" ht="12.75">
      <c r="A41" s="1" t="s">
        <v>177</v>
      </c>
      <c r="C41" s="4">
        <v>36707</v>
      </c>
      <c r="D41" s="1" t="s">
        <v>581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123.09750189797911</v>
      </c>
      <c r="N41" s="3">
        <v>0</v>
      </c>
      <c r="O41" s="3">
        <v>0</v>
      </c>
      <c r="P41" s="3">
        <v>0</v>
      </c>
      <c r="Q41" s="3"/>
      <c r="R41" s="3"/>
      <c r="S41" s="3"/>
      <c r="T41" s="3"/>
      <c r="U41" s="3"/>
    </row>
    <row r="42" spans="1:21" ht="12.75">
      <c r="A42" s="1" t="s">
        <v>177</v>
      </c>
      <c r="C42" s="4">
        <v>36710</v>
      </c>
      <c r="D42" s="1" t="s">
        <v>581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465.2760203897184</v>
      </c>
      <c r="N42" s="3">
        <v>0</v>
      </c>
      <c r="O42" s="3">
        <v>0</v>
      </c>
      <c r="P42" s="3">
        <v>0</v>
      </c>
      <c r="Q42" s="3"/>
      <c r="R42" s="3"/>
      <c r="S42" s="3"/>
      <c r="T42" s="3"/>
      <c r="U42" s="3"/>
    </row>
    <row r="43" spans="1:21" ht="12.75">
      <c r="A43" s="1" t="s">
        <v>177</v>
      </c>
      <c r="C43" s="4">
        <v>36716</v>
      </c>
      <c r="D43" s="1" t="s">
        <v>310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317.36534677498486</v>
      </c>
      <c r="M43" s="3">
        <v>0</v>
      </c>
      <c r="N43" s="3">
        <v>0</v>
      </c>
      <c r="O43" s="3">
        <v>0</v>
      </c>
      <c r="P43" s="3">
        <v>0</v>
      </c>
      <c r="Q43" s="3"/>
      <c r="R43" s="3"/>
      <c r="S43" s="3"/>
      <c r="T43" s="3"/>
      <c r="U43" s="3"/>
    </row>
    <row r="44" spans="1:21" ht="12.75">
      <c r="A44" s="1" t="s">
        <v>177</v>
      </c>
      <c r="C44" s="4">
        <v>36736</v>
      </c>
      <c r="D44" s="1" t="s">
        <v>532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951.375582950725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/>
      <c r="R44" s="3"/>
      <c r="S44" s="3"/>
      <c r="T44" s="3"/>
      <c r="U44" s="3"/>
    </row>
    <row r="45" spans="1:21" ht="12.75">
      <c r="A45" s="1" t="s">
        <v>177</v>
      </c>
      <c r="C45" s="4">
        <v>36737</v>
      </c>
      <c r="D45" s="1" t="s">
        <v>576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966.6265551808374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/>
      <c r="R45" s="3"/>
      <c r="S45" s="3"/>
      <c r="T45" s="3"/>
      <c r="U45" s="3"/>
    </row>
    <row r="46" spans="1:21" ht="12.75">
      <c r="A46" s="1" t="s">
        <v>177</v>
      </c>
      <c r="C46" s="4">
        <v>36738</v>
      </c>
      <c r="D46" s="1" t="s">
        <v>576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174.16217779545207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/>
      <c r="R46" s="3"/>
      <c r="S46" s="3"/>
      <c r="T46" s="3"/>
      <c r="U46" s="3"/>
    </row>
    <row r="47" spans="1:21" ht="12.75">
      <c r="A47" s="1" t="s">
        <v>177</v>
      </c>
      <c r="C47" s="4">
        <v>36746</v>
      </c>
      <c r="D47" s="1" t="s">
        <v>576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34.938309223403756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/>
      <c r="R47" s="3"/>
      <c r="S47" s="3"/>
      <c r="T47" s="3"/>
      <c r="U47" s="3"/>
    </row>
    <row r="48" spans="1:21" ht="12.75">
      <c r="A48" s="1" t="s">
        <v>177</v>
      </c>
      <c r="C48" s="4">
        <v>36747</v>
      </c>
      <c r="D48" s="1" t="s">
        <v>310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400.96938959959095</v>
      </c>
      <c r="M48" s="3">
        <v>0</v>
      </c>
      <c r="N48" s="3">
        <v>0</v>
      </c>
      <c r="O48" s="3">
        <v>0</v>
      </c>
      <c r="P48" s="3">
        <v>0</v>
      </c>
      <c r="Q48" s="3"/>
      <c r="R48" s="3"/>
      <c r="S48" s="3"/>
      <c r="T48" s="3"/>
      <c r="U48" s="3"/>
    </row>
    <row r="49" spans="1:21" ht="12.75">
      <c r="A49" s="1" t="s">
        <v>177</v>
      </c>
      <c r="C49" s="4">
        <v>36760</v>
      </c>
      <c r="D49" s="1" t="s">
        <v>576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302.7986799361659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/>
      <c r="R49" s="3"/>
      <c r="S49" s="3"/>
      <c r="T49" s="3"/>
      <c r="U49" s="3"/>
    </row>
    <row r="50" spans="1:21" ht="12.75">
      <c r="A50" s="1" t="s">
        <v>177</v>
      </c>
      <c r="C50" s="4">
        <v>36860</v>
      </c>
      <c r="D50" s="1" t="s">
        <v>581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5.422797440439608</v>
      </c>
      <c r="N50" s="3">
        <v>0</v>
      </c>
      <c r="O50" s="3">
        <v>0</v>
      </c>
      <c r="P50" s="3">
        <v>0</v>
      </c>
      <c r="Q50" s="3"/>
      <c r="R50" s="3"/>
      <c r="S50" s="3"/>
      <c r="T50" s="3"/>
      <c r="U50" s="3"/>
    </row>
    <row r="51" spans="1:21" ht="12.75">
      <c r="A51" s="1" t="s">
        <v>177</v>
      </c>
      <c r="C51" s="4">
        <v>36869</v>
      </c>
      <c r="D51" s="1" t="s">
        <v>310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1375.0664938257578</v>
      </c>
      <c r="M51" s="3">
        <v>0</v>
      </c>
      <c r="N51" s="3">
        <v>0</v>
      </c>
      <c r="O51" s="3">
        <v>0</v>
      </c>
      <c r="P51" s="3">
        <v>0</v>
      </c>
      <c r="Q51" s="3"/>
      <c r="R51" s="3"/>
      <c r="S51" s="3"/>
      <c r="T51" s="3"/>
      <c r="U51" s="3"/>
    </row>
    <row r="52" spans="1:21" ht="12.75">
      <c r="A52" s="1" t="s">
        <v>177</v>
      </c>
      <c r="C52" s="4">
        <v>36870</v>
      </c>
      <c r="D52" s="1" t="s">
        <v>532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1678.8980875601028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/>
      <c r="R52" s="3"/>
      <c r="S52" s="3"/>
      <c r="T52" s="3"/>
      <c r="U52" s="3"/>
    </row>
    <row r="53" spans="1:21" ht="12.75">
      <c r="A53" s="1" t="s">
        <v>177</v>
      </c>
      <c r="C53" s="4">
        <v>36887</v>
      </c>
      <c r="D53" s="1" t="s">
        <v>576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1873.9638583462017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/>
      <c r="R53" s="3"/>
      <c r="S53" s="3"/>
      <c r="T53" s="3"/>
      <c r="U53" s="3"/>
    </row>
    <row r="54" spans="3:21" ht="12.75">
      <c r="C54" s="4">
        <v>36891</v>
      </c>
      <c r="D54" s="1" t="s">
        <v>399</v>
      </c>
      <c r="E54" s="3">
        <f>+'magazzini mezzi'!E95</f>
        <v>0</v>
      </c>
      <c r="F54" s="3"/>
      <c r="G54" s="3">
        <f>+'magazzini mezzi'!H95</f>
        <v>25552.348629488653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3:21" ht="12.75">
      <c r="C55" s="4">
        <v>36891</v>
      </c>
      <c r="D55" s="1" t="s">
        <v>392</v>
      </c>
      <c r="E55" s="3">
        <f>+'magazzini mezzi'!E108</f>
        <v>30</v>
      </c>
      <c r="F55" s="3">
        <f>+G55/E55</f>
        <v>136.86</v>
      </c>
      <c r="G55" s="3">
        <f>+'magazzini mezzi'!H108</f>
        <v>4105.8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3:21" ht="12.75">
      <c r="C56" s="4">
        <v>36891</v>
      </c>
      <c r="D56" s="1" t="s">
        <v>393</v>
      </c>
      <c r="E56" s="3">
        <f>+'magazzini mezzi'!E143</f>
        <v>1361.1</v>
      </c>
      <c r="F56" s="3">
        <f>+G56/E56</f>
        <v>18.879864080523102</v>
      </c>
      <c r="G56" s="3">
        <f>+'magazzini mezzi'!H143</f>
        <v>25697.38299999999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3:21" ht="12.75">
      <c r="C57" s="4">
        <v>36891</v>
      </c>
      <c r="D57" s="1" t="s">
        <v>410</v>
      </c>
      <c r="E57" s="3">
        <f>+'magazzini mezzi'!E175</f>
        <v>2142.4000000000005</v>
      </c>
      <c r="F57" s="3">
        <f>+G57/E57</f>
        <v>22.8488778939507</v>
      </c>
      <c r="G57" s="3">
        <f>+'magazzini mezzi'!H175</f>
        <v>48951.435999999994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3:21" ht="12.75">
      <c r="C58" s="4">
        <v>36891</v>
      </c>
      <c r="D58" s="1" t="s">
        <v>394</v>
      </c>
      <c r="E58" s="3">
        <f>+'magazzini mezzi'!E189</f>
        <v>52.5</v>
      </c>
      <c r="F58" s="3">
        <f>+G58/E58</f>
        <v>23.326476190476193</v>
      </c>
      <c r="G58" s="3">
        <f>+'magazzini mezzi'!H189</f>
        <v>1224.64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3:21" ht="12.75">
      <c r="C59" s="4">
        <v>36891</v>
      </c>
      <c r="D59" s="1" t="s">
        <v>411</v>
      </c>
      <c r="E59" s="3">
        <f>+'magazzini mezzi'!E198</f>
        <v>550.25</v>
      </c>
      <c r="F59" s="3">
        <f>+H59/E59</f>
        <v>11.313475692866879</v>
      </c>
      <c r="G59" s="3"/>
      <c r="H59" s="3">
        <f>+'magazzini mezzi'!H198</f>
        <v>6225.24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3:21" ht="12.75">
      <c r="C60" s="4">
        <v>36891</v>
      </c>
      <c r="D60" s="1" t="s">
        <v>582</v>
      </c>
      <c r="E60" s="3">
        <v>232</v>
      </c>
      <c r="F60" s="3">
        <v>6.245575255517052</v>
      </c>
      <c r="G60" s="3"/>
      <c r="H60" s="3"/>
      <c r="I60" s="3">
        <f>+'magazzini mezzi'!H205</f>
        <v>1450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2.75">
      <c r="A61" s="1" t="s">
        <v>177</v>
      </c>
      <c r="B61" s="1" t="s">
        <v>254</v>
      </c>
      <c r="C61" s="4">
        <v>36891</v>
      </c>
      <c r="D61" s="1" t="s">
        <v>414</v>
      </c>
      <c r="E61" s="3">
        <f>+'magazzini prodotti'!E34</f>
        <v>432</v>
      </c>
      <c r="F61" s="3">
        <f>+N61/E61</f>
        <v>10</v>
      </c>
      <c r="G61" s="3"/>
      <c r="H61" s="3"/>
      <c r="I61" s="3"/>
      <c r="J61" s="3"/>
      <c r="K61" s="3"/>
      <c r="L61" s="3"/>
      <c r="M61" s="3"/>
      <c r="N61" s="3">
        <f>+'magazzini prodotti'!H34</f>
        <v>4320</v>
      </c>
      <c r="O61" s="3"/>
      <c r="P61" s="3"/>
      <c r="Q61" s="3"/>
      <c r="R61" s="3"/>
      <c r="S61" s="3"/>
      <c r="T61" s="3"/>
      <c r="U61" s="3"/>
    </row>
    <row r="62" spans="1:21" ht="12.75">
      <c r="A62" s="1" t="s">
        <v>177</v>
      </c>
      <c r="B62" s="1" t="s">
        <v>254</v>
      </c>
      <c r="C62" s="4">
        <v>36891</v>
      </c>
      <c r="D62" s="1" t="s">
        <v>415</v>
      </c>
      <c r="E62" s="3">
        <f>+'magazzini prodotti'!E43</f>
        <v>2177</v>
      </c>
      <c r="F62" s="3">
        <f>+N62/E62</f>
        <v>8.5</v>
      </c>
      <c r="G62" s="3"/>
      <c r="H62" s="3"/>
      <c r="I62" s="3"/>
      <c r="J62" s="3"/>
      <c r="K62" s="3"/>
      <c r="L62" s="3"/>
      <c r="M62" s="3"/>
      <c r="N62" s="3">
        <f>+'magazzini prodotti'!H43</f>
        <v>18504.5</v>
      </c>
      <c r="O62" s="3"/>
      <c r="P62" s="3"/>
      <c r="Q62" s="3"/>
      <c r="R62" s="3"/>
      <c r="S62" s="3"/>
      <c r="T62" s="3"/>
      <c r="U62" s="3"/>
    </row>
    <row r="63" spans="1:21" ht="12.75">
      <c r="A63" s="1" t="s">
        <v>177</v>
      </c>
      <c r="B63" s="1" t="s">
        <v>254</v>
      </c>
      <c r="C63" s="4">
        <v>36891</v>
      </c>
      <c r="D63" s="1" t="s">
        <v>416</v>
      </c>
      <c r="E63" s="3">
        <f>+'magazzini prodotti'!E14</f>
        <v>11760</v>
      </c>
      <c r="F63" s="3">
        <f>+N63/E63</f>
        <v>2.7372215651742784</v>
      </c>
      <c r="G63" s="3"/>
      <c r="H63" s="3"/>
      <c r="I63" s="3"/>
      <c r="J63" s="3"/>
      <c r="K63" s="3"/>
      <c r="L63" s="3"/>
      <c r="M63" s="3"/>
      <c r="N63" s="3">
        <f>+'magazzini prodotti'!H14</f>
        <v>32189.725606449512</v>
      </c>
      <c r="O63" s="3"/>
      <c r="P63" s="3"/>
      <c r="Q63" s="3"/>
      <c r="R63" s="3"/>
      <c r="S63" s="3"/>
      <c r="T63" s="3"/>
      <c r="U63" s="3"/>
    </row>
    <row r="64" spans="1:21" ht="12.75">
      <c r="A64" s="1" t="s">
        <v>177</v>
      </c>
      <c r="B64" s="1" t="s">
        <v>254</v>
      </c>
      <c r="C64" s="4">
        <v>36891</v>
      </c>
      <c r="D64" s="1" t="s">
        <v>417</v>
      </c>
      <c r="E64" s="3">
        <f>+'magazzini prodotti'!E25</f>
        <v>1560</v>
      </c>
      <c r="F64" s="3">
        <f>+N64/E64</f>
        <v>2.5822844954474324</v>
      </c>
      <c r="G64" s="3"/>
      <c r="H64" s="3"/>
      <c r="I64" s="3"/>
      <c r="J64" s="3"/>
      <c r="K64" s="3"/>
      <c r="L64" s="3"/>
      <c r="M64" s="3"/>
      <c r="N64" s="3">
        <f>+'magazzini prodotti'!H25</f>
        <v>4028.3638128979946</v>
      </c>
      <c r="O64" s="3"/>
      <c r="P64" s="3"/>
      <c r="Q64" s="3"/>
      <c r="R64" s="3"/>
      <c r="S64" s="3"/>
      <c r="T64" s="3"/>
      <c r="U64" s="3"/>
    </row>
    <row r="65" spans="1:21" ht="12.75">
      <c r="A65" s="60"/>
      <c r="B65" s="60"/>
      <c r="C65" s="60"/>
      <c r="D65" s="60" t="s">
        <v>363</v>
      </c>
      <c r="E65" s="61"/>
      <c r="F65" s="61"/>
      <c r="G65" s="61">
        <f aca="true" t="shared" si="0" ref="G65:S65">SUM(G2:G64)</f>
        <v>105531.60762948864</v>
      </c>
      <c r="H65" s="61">
        <f t="shared" si="0"/>
        <v>6225.24</v>
      </c>
      <c r="I65" s="61">
        <f t="shared" si="0"/>
        <v>1450</v>
      </c>
      <c r="J65" s="61">
        <f t="shared" si="0"/>
        <v>20084.234120241486</v>
      </c>
      <c r="K65" s="61">
        <f t="shared" si="0"/>
        <v>4858.811012926917</v>
      </c>
      <c r="L65" s="61">
        <f t="shared" si="0"/>
        <v>3737.98075681594</v>
      </c>
      <c r="M65" s="61">
        <f t="shared" si="0"/>
        <v>787.3901883518311</v>
      </c>
      <c r="N65" s="61">
        <f t="shared" si="0"/>
        <v>59042.58941934751</v>
      </c>
      <c r="O65" s="61">
        <f t="shared" si="0"/>
        <v>0</v>
      </c>
      <c r="P65" s="61">
        <f t="shared" si="0"/>
        <v>0</v>
      </c>
      <c r="Q65" s="61">
        <f t="shared" si="0"/>
        <v>0</v>
      </c>
      <c r="R65" s="61">
        <f t="shared" si="0"/>
        <v>0</v>
      </c>
      <c r="S65" s="61">
        <f t="shared" si="0"/>
        <v>0</v>
      </c>
      <c r="T65" s="3"/>
      <c r="U65" s="3"/>
    </row>
    <row r="66" spans="4:7" ht="12.75">
      <c r="D66" s="1" t="s">
        <v>598</v>
      </c>
      <c r="G66" s="61">
        <f>SUM(G65:N65)</f>
        <v>201717.85312717233</v>
      </c>
    </row>
    <row r="67" spans="4:7" ht="12.75">
      <c r="D67" s="1" t="s">
        <v>597</v>
      </c>
      <c r="G67" s="3">
        <f>SUM(G65:M65)</f>
        <v>142675.2637078248</v>
      </c>
    </row>
  </sheetData>
  <printOptions/>
  <pageMargins left="0.75" right="0.75" top="1" bottom="1" header="0.5" footer="0.5"/>
  <pageSetup fitToHeight="1" fitToWidth="1" horizontalDpi="300" verticalDpi="300" orientation="portrait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25"/>
  <dimension ref="A1:K13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1" bestFit="1" customWidth="1"/>
    <col min="2" max="2" width="2.7109375" style="1" customWidth="1"/>
    <col min="3" max="3" width="12.7109375" style="1" customWidth="1"/>
    <col min="4" max="4" width="8.7109375" style="3" customWidth="1"/>
    <col min="5" max="5" width="7.7109375" style="1" customWidth="1"/>
    <col min="6" max="6" width="8.7109375" style="1" bestFit="1" customWidth="1"/>
    <col min="7" max="8" width="7.57421875" style="1" bestFit="1" customWidth="1"/>
    <col min="9" max="9" width="6.57421875" style="1" bestFit="1" customWidth="1"/>
    <col min="10" max="10" width="7.421875" style="1" bestFit="1" customWidth="1"/>
    <col min="11" max="11" width="5.7109375" style="1" customWidth="1"/>
  </cols>
  <sheetData>
    <row r="1" spans="1:11" ht="12.75">
      <c r="A1" s="60" t="s">
        <v>125</v>
      </c>
      <c r="B1" s="60" t="s">
        <v>204</v>
      </c>
      <c r="C1" s="60" t="s">
        <v>413</v>
      </c>
      <c r="D1" s="61" t="s">
        <v>205</v>
      </c>
      <c r="E1" s="60" t="s">
        <v>258</v>
      </c>
      <c r="F1" s="60" t="s">
        <v>289</v>
      </c>
      <c r="G1" s="60" t="s">
        <v>290</v>
      </c>
      <c r="H1" s="60" t="s">
        <v>129</v>
      </c>
      <c r="I1" s="60" t="s">
        <v>271</v>
      </c>
      <c r="J1" s="60" t="s">
        <v>291</v>
      </c>
      <c r="K1" s="60" t="s">
        <v>292</v>
      </c>
    </row>
    <row r="2" spans="1:11" ht="12.75">
      <c r="A2" s="4">
        <v>36556</v>
      </c>
      <c r="C2" s="1" t="s">
        <v>585</v>
      </c>
      <c r="D2" s="3">
        <v>0</v>
      </c>
      <c r="E2" s="3">
        <v>0</v>
      </c>
      <c r="F2" s="3">
        <v>0</v>
      </c>
      <c r="G2" s="3">
        <v>0</v>
      </c>
      <c r="H2" s="3">
        <v>418.20613860670267</v>
      </c>
      <c r="I2" s="3">
        <v>0</v>
      </c>
      <c r="J2" s="3">
        <v>0</v>
      </c>
      <c r="K2" s="3">
        <v>0</v>
      </c>
    </row>
    <row r="3" spans="1:11" ht="12.75">
      <c r="A3" s="4">
        <v>36570</v>
      </c>
      <c r="C3" s="1" t="s">
        <v>585</v>
      </c>
      <c r="D3" s="3">
        <v>0</v>
      </c>
      <c r="E3" s="3">
        <v>0</v>
      </c>
      <c r="F3" s="3">
        <v>0</v>
      </c>
      <c r="G3" s="3">
        <v>0</v>
      </c>
      <c r="H3" s="3">
        <v>515.9611004663607</v>
      </c>
      <c r="I3" s="3">
        <v>0</v>
      </c>
      <c r="J3" s="3">
        <v>0</v>
      </c>
      <c r="K3" s="3">
        <v>0</v>
      </c>
    </row>
    <row r="4" spans="1:11" ht="12.75">
      <c r="A4" s="4">
        <v>36572</v>
      </c>
      <c r="C4" s="1" t="s">
        <v>585</v>
      </c>
      <c r="D4" s="3">
        <v>0</v>
      </c>
      <c r="E4" s="3">
        <v>0</v>
      </c>
      <c r="F4" s="3">
        <v>0</v>
      </c>
      <c r="G4" s="3">
        <v>0</v>
      </c>
      <c r="H4" s="3">
        <v>204.1863996240194</v>
      </c>
      <c r="I4" s="3">
        <v>0</v>
      </c>
      <c r="J4" s="3">
        <v>0</v>
      </c>
      <c r="K4" s="3">
        <v>0</v>
      </c>
    </row>
    <row r="5" spans="1:11" ht="12.75">
      <c r="A5" s="4">
        <v>36646</v>
      </c>
      <c r="C5" s="1" t="s">
        <v>585</v>
      </c>
      <c r="D5" s="3">
        <v>0</v>
      </c>
      <c r="E5" s="3">
        <v>0</v>
      </c>
      <c r="F5" s="3">
        <v>0</v>
      </c>
      <c r="G5" s="3">
        <v>0</v>
      </c>
      <c r="H5" s="3">
        <v>55.5294457901016</v>
      </c>
      <c r="I5" s="3">
        <v>0</v>
      </c>
      <c r="J5" s="3">
        <v>0</v>
      </c>
      <c r="K5" s="3">
        <v>0</v>
      </c>
    </row>
    <row r="6" spans="1:11" ht="12.75">
      <c r="A6" s="4">
        <v>36705</v>
      </c>
      <c r="C6" s="1" t="s">
        <v>585</v>
      </c>
      <c r="D6" s="3">
        <v>0</v>
      </c>
      <c r="E6" s="3">
        <v>0</v>
      </c>
      <c r="F6" s="3">
        <v>0</v>
      </c>
      <c r="G6" s="3">
        <v>0</v>
      </c>
      <c r="H6" s="3">
        <v>96.01966667871733</v>
      </c>
      <c r="I6" s="3">
        <v>0</v>
      </c>
      <c r="J6" s="3">
        <v>0</v>
      </c>
      <c r="K6" s="3">
        <v>0</v>
      </c>
    </row>
    <row r="7" spans="1:11" ht="12.75">
      <c r="A7" s="4">
        <v>36708</v>
      </c>
      <c r="C7" s="1" t="s">
        <v>585</v>
      </c>
      <c r="D7" s="3">
        <v>0</v>
      </c>
      <c r="E7" s="3">
        <v>0</v>
      </c>
      <c r="F7" s="3">
        <v>0</v>
      </c>
      <c r="G7" s="3">
        <v>0</v>
      </c>
      <c r="H7" s="3">
        <v>140.55890965619466</v>
      </c>
      <c r="I7" s="3">
        <v>0</v>
      </c>
      <c r="J7" s="3">
        <v>0</v>
      </c>
      <c r="K7" s="3">
        <v>0</v>
      </c>
    </row>
    <row r="8" spans="1:11" ht="12.75">
      <c r="A8" s="4">
        <v>36719</v>
      </c>
      <c r="C8" s="1" t="s">
        <v>585</v>
      </c>
      <c r="D8" s="3">
        <v>0</v>
      </c>
      <c r="E8" s="3">
        <v>0</v>
      </c>
      <c r="F8" s="3">
        <v>0</v>
      </c>
      <c r="G8" s="3">
        <v>0</v>
      </c>
      <c r="H8" s="3">
        <v>433.2453635081885</v>
      </c>
      <c r="I8" s="3">
        <v>0</v>
      </c>
      <c r="J8" s="3">
        <v>0</v>
      </c>
      <c r="K8" s="3">
        <v>0</v>
      </c>
    </row>
    <row r="9" spans="1:11" ht="12.75">
      <c r="A9" s="4">
        <v>36860</v>
      </c>
      <c r="B9" s="1" t="s">
        <v>293</v>
      </c>
      <c r="C9" s="1" t="s">
        <v>586</v>
      </c>
      <c r="D9" s="3">
        <v>20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104.11771085644048</v>
      </c>
      <c r="K9" s="3">
        <v>0</v>
      </c>
    </row>
    <row r="10" spans="1:11" ht="12.75">
      <c r="A10" s="4">
        <v>36862</v>
      </c>
      <c r="D10" s="3">
        <v>0</v>
      </c>
      <c r="E10" s="3">
        <v>0</v>
      </c>
      <c r="F10" s="3">
        <v>0</v>
      </c>
      <c r="G10" s="3">
        <v>0</v>
      </c>
      <c r="H10" s="3">
        <v>2387.7661689743686</v>
      </c>
      <c r="I10" s="3">
        <v>0</v>
      </c>
      <c r="J10" s="3">
        <v>0</v>
      </c>
      <c r="K10" s="3">
        <v>0</v>
      </c>
    </row>
    <row r="11" spans="1:7" ht="12.75">
      <c r="A11" s="4">
        <v>36863</v>
      </c>
      <c r="B11" s="1" t="s">
        <v>288</v>
      </c>
      <c r="C11" s="1" t="s">
        <v>583</v>
      </c>
      <c r="F11" s="3"/>
      <c r="G11" s="3">
        <f>+'magazzini mezzi'!G29-'magazzini mezzi'!G18</f>
        <v>1824.3</v>
      </c>
    </row>
    <row r="12" spans="1:7" ht="12.75">
      <c r="A12" s="4">
        <v>36880</v>
      </c>
      <c r="B12" s="1" t="s">
        <v>254</v>
      </c>
      <c r="C12" s="1" t="s">
        <v>584</v>
      </c>
      <c r="D12" s="3">
        <f>+'magazzini mezzi'!E13</f>
        <v>130</v>
      </c>
      <c r="E12" s="3">
        <f>+F12/D12</f>
        <v>56.45392307692307</v>
      </c>
      <c r="F12" s="3">
        <f>+'magazzini mezzi'!H13-'magazzini mezzi'!G4</f>
        <v>7339.009999999999</v>
      </c>
      <c r="G12" s="3"/>
    </row>
    <row r="13" spans="1:11" ht="12.75">
      <c r="A13" s="61"/>
      <c r="B13" s="61"/>
      <c r="C13" s="60" t="s">
        <v>363</v>
      </c>
      <c r="D13" s="61"/>
      <c r="E13" s="60"/>
      <c r="F13" s="61">
        <f aca="true" t="shared" si="0" ref="F13:K13">SUM(F2:F12)</f>
        <v>7339.009999999999</v>
      </c>
      <c r="G13" s="61">
        <f t="shared" si="0"/>
        <v>1824.3</v>
      </c>
      <c r="H13" s="61">
        <f t="shared" si="0"/>
        <v>4251.473193304653</v>
      </c>
      <c r="I13" s="61">
        <f t="shared" si="0"/>
        <v>0</v>
      </c>
      <c r="J13" s="61">
        <f t="shared" si="0"/>
        <v>104.11771085644048</v>
      </c>
      <c r="K13" s="61">
        <f t="shared" si="0"/>
        <v>0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26"/>
  <dimension ref="A1:J27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1" bestFit="1" customWidth="1"/>
    <col min="2" max="2" width="18.140625" style="1" bestFit="1" customWidth="1"/>
    <col min="3" max="3" width="7.57421875" style="1" bestFit="1" customWidth="1"/>
    <col min="4" max="4" width="8.00390625" style="1" bestFit="1" customWidth="1"/>
    <col min="5" max="7" width="7.57421875" style="1" bestFit="1" customWidth="1"/>
    <col min="8" max="8" width="8.00390625" style="1" bestFit="1" customWidth="1"/>
    <col min="9" max="9" width="7.57421875" style="1" bestFit="1" customWidth="1"/>
    <col min="10" max="10" width="13.7109375" style="1" customWidth="1"/>
  </cols>
  <sheetData>
    <row r="1" spans="1:10" ht="12.75">
      <c r="A1" s="60" t="s">
        <v>125</v>
      </c>
      <c r="B1" s="60" t="s">
        <v>294</v>
      </c>
      <c r="C1" s="60" t="s">
        <v>295</v>
      </c>
      <c r="D1" s="60" t="s">
        <v>296</v>
      </c>
      <c r="E1" s="60" t="s">
        <v>297</v>
      </c>
      <c r="F1" s="60" t="s">
        <v>291</v>
      </c>
      <c r="G1" s="60" t="s">
        <v>298</v>
      </c>
      <c r="H1" s="60" t="s">
        <v>299</v>
      </c>
      <c r="I1" s="60" t="s">
        <v>300</v>
      </c>
      <c r="J1" s="1" t="s">
        <v>132</v>
      </c>
    </row>
    <row r="2" spans="1:9" ht="12.75">
      <c r="A2" s="4">
        <v>36540</v>
      </c>
      <c r="C2" s="3">
        <v>0</v>
      </c>
      <c r="D2" s="3">
        <v>0</v>
      </c>
      <c r="E2" s="3">
        <v>0</v>
      </c>
      <c r="F2" s="3">
        <v>226.74523697624818</v>
      </c>
      <c r="G2" s="3">
        <v>0</v>
      </c>
      <c r="H2" s="3">
        <v>0</v>
      </c>
      <c r="I2" s="3">
        <v>0</v>
      </c>
    </row>
    <row r="3" spans="1:9" ht="12.75">
      <c r="A3" s="4">
        <v>36549</v>
      </c>
      <c r="C3" s="3">
        <v>0</v>
      </c>
      <c r="D3" s="3">
        <v>0</v>
      </c>
      <c r="E3" s="3">
        <v>0</v>
      </c>
      <c r="F3" s="3">
        <v>86.76475904703373</v>
      </c>
      <c r="G3" s="3">
        <v>0</v>
      </c>
      <c r="H3" s="3">
        <v>0</v>
      </c>
      <c r="I3" s="3">
        <v>0</v>
      </c>
    </row>
    <row r="4" spans="1:9" ht="12.75">
      <c r="A4" s="4">
        <v>36565</v>
      </c>
      <c r="C4" s="3">
        <v>0</v>
      </c>
      <c r="D4" s="3">
        <v>0</v>
      </c>
      <c r="E4" s="3">
        <v>0</v>
      </c>
      <c r="F4" s="3">
        <v>220.96091970644594</v>
      </c>
      <c r="G4" s="3">
        <v>0</v>
      </c>
      <c r="H4" s="3">
        <v>0</v>
      </c>
      <c r="I4" s="3">
        <v>0</v>
      </c>
    </row>
    <row r="5" spans="1:9" ht="12.75">
      <c r="A5" s="4">
        <v>36584</v>
      </c>
      <c r="C5" s="3">
        <v>0</v>
      </c>
      <c r="D5" s="3">
        <v>0</v>
      </c>
      <c r="E5" s="3">
        <v>0</v>
      </c>
      <c r="F5" s="3">
        <v>156.17656628466074</v>
      </c>
      <c r="G5" s="3">
        <v>0</v>
      </c>
      <c r="H5" s="3">
        <v>0</v>
      </c>
      <c r="I5" s="3">
        <v>0</v>
      </c>
    </row>
    <row r="6" spans="1:9" ht="12.75">
      <c r="A6" s="4">
        <v>36626</v>
      </c>
      <c r="C6" s="3">
        <v>0</v>
      </c>
      <c r="D6" s="3">
        <v>0</v>
      </c>
      <c r="E6" s="3">
        <v>0</v>
      </c>
      <c r="F6" s="3">
        <v>231.37269079208997</v>
      </c>
      <c r="G6" s="3">
        <v>0</v>
      </c>
      <c r="H6" s="3">
        <v>0</v>
      </c>
      <c r="I6" s="3">
        <v>0</v>
      </c>
    </row>
    <row r="7" spans="1:9" ht="12.75">
      <c r="A7" s="4">
        <v>36642</v>
      </c>
      <c r="C7" s="3">
        <v>0</v>
      </c>
      <c r="D7" s="3">
        <v>0</v>
      </c>
      <c r="E7" s="3">
        <v>0</v>
      </c>
      <c r="F7" s="3">
        <v>412.42182133690034</v>
      </c>
      <c r="G7" s="3">
        <v>0</v>
      </c>
      <c r="H7" s="3">
        <v>0</v>
      </c>
      <c r="I7" s="3">
        <v>0</v>
      </c>
    </row>
    <row r="8" spans="1:9" ht="12.75">
      <c r="A8" s="4">
        <v>36656</v>
      </c>
      <c r="C8" s="3">
        <v>0</v>
      </c>
      <c r="D8" s="3">
        <v>0</v>
      </c>
      <c r="E8" s="3">
        <v>0</v>
      </c>
      <c r="F8" s="3">
        <v>230.79425906510977</v>
      </c>
      <c r="G8" s="3">
        <v>0</v>
      </c>
      <c r="H8" s="3">
        <v>0</v>
      </c>
      <c r="I8" s="3">
        <v>0</v>
      </c>
    </row>
    <row r="9" spans="1:9" ht="12.75">
      <c r="A9" s="4">
        <v>36688</v>
      </c>
      <c r="C9" s="3">
        <v>0</v>
      </c>
      <c r="D9" s="3">
        <v>0</v>
      </c>
      <c r="E9" s="3">
        <v>0</v>
      </c>
      <c r="F9" s="3">
        <v>231.37269079208997</v>
      </c>
      <c r="G9" s="3">
        <v>0</v>
      </c>
      <c r="H9" s="3">
        <v>0</v>
      </c>
      <c r="I9" s="3">
        <v>0</v>
      </c>
    </row>
    <row r="10" spans="1:9" ht="12.75">
      <c r="A10" s="4">
        <v>36716</v>
      </c>
      <c r="C10" s="3">
        <v>0</v>
      </c>
      <c r="D10" s="3">
        <v>0</v>
      </c>
      <c r="E10" s="3">
        <v>0</v>
      </c>
      <c r="F10" s="3">
        <v>173.52951809406747</v>
      </c>
      <c r="G10" s="3">
        <v>0</v>
      </c>
      <c r="H10" s="3">
        <v>0</v>
      </c>
      <c r="I10" s="3">
        <v>0</v>
      </c>
    </row>
    <row r="11" spans="1:9" ht="12.75">
      <c r="A11" s="4">
        <v>36747</v>
      </c>
      <c r="C11" s="3">
        <v>0</v>
      </c>
      <c r="D11" s="3">
        <v>0</v>
      </c>
      <c r="E11" s="3">
        <v>0</v>
      </c>
      <c r="F11" s="3">
        <v>231.37269079208997</v>
      </c>
      <c r="G11" s="3">
        <v>0</v>
      </c>
      <c r="H11" s="3">
        <v>0</v>
      </c>
      <c r="I11" s="3">
        <v>0</v>
      </c>
    </row>
    <row r="12" spans="1:9" ht="12.75">
      <c r="A12" s="4">
        <v>36761</v>
      </c>
      <c r="B12" s="1" t="s">
        <v>301</v>
      </c>
      <c r="C12" s="3">
        <v>0</v>
      </c>
      <c r="D12" s="3">
        <v>0</v>
      </c>
      <c r="E12" s="3">
        <v>0</v>
      </c>
      <c r="F12" s="3">
        <v>226.16680524926795</v>
      </c>
      <c r="G12" s="3">
        <v>0</v>
      </c>
      <c r="H12" s="3">
        <v>0</v>
      </c>
      <c r="I12" s="3">
        <v>0</v>
      </c>
    </row>
    <row r="13" spans="1:9" ht="12.75">
      <c r="A13" s="4">
        <v>36762</v>
      </c>
      <c r="B13" s="1" t="s">
        <v>302</v>
      </c>
      <c r="C13" s="3">
        <v>0</v>
      </c>
      <c r="D13" s="3">
        <v>0</v>
      </c>
      <c r="E13" s="3">
        <v>0</v>
      </c>
      <c r="F13" s="3">
        <v>1101.3340081703482</v>
      </c>
      <c r="G13" s="3">
        <v>0</v>
      </c>
      <c r="H13" s="3">
        <v>0</v>
      </c>
      <c r="I13" s="3">
        <v>0</v>
      </c>
    </row>
    <row r="14" spans="1:9" ht="12.75">
      <c r="A14" s="4">
        <v>36769</v>
      </c>
      <c r="B14" s="1" t="s">
        <v>303</v>
      </c>
      <c r="C14" s="3">
        <v>0</v>
      </c>
      <c r="D14" s="3">
        <v>0</v>
      </c>
      <c r="E14" s="3">
        <v>0</v>
      </c>
      <c r="F14" s="3">
        <v>90.81378113589531</v>
      </c>
      <c r="G14" s="3">
        <v>0</v>
      </c>
      <c r="H14" s="3">
        <v>0</v>
      </c>
      <c r="I14" s="3">
        <v>0</v>
      </c>
    </row>
    <row r="15" spans="1:9" ht="12.75">
      <c r="A15" s="4">
        <v>36769</v>
      </c>
      <c r="C15" s="3">
        <v>1330.3929720545173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ht="12.75">
      <c r="A16" s="4">
        <v>36796</v>
      </c>
      <c r="B16" s="1" t="s">
        <v>304</v>
      </c>
      <c r="C16" s="3">
        <v>0</v>
      </c>
      <c r="D16" s="3">
        <v>0</v>
      </c>
      <c r="E16" s="3">
        <v>0</v>
      </c>
      <c r="F16" s="3">
        <v>123.78438957376814</v>
      </c>
      <c r="G16" s="3">
        <v>0</v>
      </c>
      <c r="H16" s="3">
        <v>0</v>
      </c>
      <c r="I16" s="3">
        <v>0</v>
      </c>
    </row>
    <row r="17" spans="1:9" ht="12.75">
      <c r="A17" s="4">
        <v>36822</v>
      </c>
      <c r="B17" s="1" t="s">
        <v>451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2065.001265319403</v>
      </c>
      <c r="I17" s="3">
        <v>0</v>
      </c>
    </row>
    <row r="18" spans="1:9" ht="12.75">
      <c r="A18" s="4">
        <v>36830</v>
      </c>
      <c r="B18" s="1" t="s">
        <v>305</v>
      </c>
      <c r="C18" s="3">
        <v>0</v>
      </c>
      <c r="D18" s="3">
        <v>0</v>
      </c>
      <c r="E18" s="3">
        <v>0</v>
      </c>
      <c r="F18" s="3">
        <v>595.7846787896317</v>
      </c>
      <c r="G18" s="3">
        <v>0</v>
      </c>
      <c r="H18" s="3">
        <v>0</v>
      </c>
      <c r="I18" s="3">
        <v>0</v>
      </c>
    </row>
    <row r="19" spans="1:9" ht="12.75">
      <c r="A19" s="4">
        <v>36837</v>
      </c>
      <c r="B19" s="1" t="s">
        <v>306</v>
      </c>
      <c r="C19" s="3">
        <v>0</v>
      </c>
      <c r="D19" s="3">
        <v>0</v>
      </c>
      <c r="E19" s="3">
        <v>0</v>
      </c>
      <c r="F19" s="3">
        <v>1251.1478254582266</v>
      </c>
      <c r="G19" s="3">
        <v>0</v>
      </c>
      <c r="H19" s="3">
        <v>0</v>
      </c>
      <c r="I19" s="3">
        <v>0</v>
      </c>
    </row>
    <row r="20" spans="1:9" ht="12.75">
      <c r="A20" s="4">
        <v>36860</v>
      </c>
      <c r="B20" s="1" t="s">
        <v>307</v>
      </c>
      <c r="C20" s="3">
        <v>0</v>
      </c>
      <c r="D20" s="3">
        <v>0</v>
      </c>
      <c r="E20" s="3">
        <v>0</v>
      </c>
      <c r="F20" s="3">
        <v>214.59817070966346</v>
      </c>
      <c r="G20" s="3">
        <v>0</v>
      </c>
      <c r="H20" s="3">
        <v>0</v>
      </c>
      <c r="I20" s="3">
        <v>0</v>
      </c>
    </row>
    <row r="21" spans="1:9" ht="12.75">
      <c r="A21" s="4">
        <v>36860</v>
      </c>
      <c r="B21" s="1" t="s">
        <v>308</v>
      </c>
      <c r="C21" s="3">
        <v>0</v>
      </c>
      <c r="D21" s="3">
        <v>0</v>
      </c>
      <c r="E21" s="3">
        <v>0</v>
      </c>
      <c r="F21" s="3">
        <v>225.0099417953075</v>
      </c>
      <c r="G21" s="3">
        <v>0</v>
      </c>
      <c r="H21" s="3">
        <v>0</v>
      </c>
      <c r="I21" s="3">
        <v>0</v>
      </c>
    </row>
    <row r="22" spans="1:9" ht="12.75">
      <c r="A22" s="4">
        <v>36860</v>
      </c>
      <c r="B22" s="1" t="s">
        <v>309</v>
      </c>
      <c r="C22" s="3">
        <v>0</v>
      </c>
      <c r="D22" s="3">
        <v>0</v>
      </c>
      <c r="E22" s="3">
        <v>0</v>
      </c>
      <c r="F22" s="3">
        <v>266.6570261378837</v>
      </c>
      <c r="G22" s="3">
        <v>0</v>
      </c>
      <c r="H22" s="3">
        <v>0</v>
      </c>
      <c r="I22" s="3">
        <v>0</v>
      </c>
    </row>
    <row r="23" spans="1:9" ht="12.75">
      <c r="A23" s="4">
        <v>36860</v>
      </c>
      <c r="B23" s="1" t="s">
        <v>452</v>
      </c>
      <c r="C23" s="3">
        <v>0</v>
      </c>
      <c r="D23" s="3">
        <v>3898.629839846716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2.75">
      <c r="A24" s="4">
        <v>36869</v>
      </c>
      <c r="B24" s="1" t="s">
        <v>310</v>
      </c>
      <c r="C24" s="3">
        <v>0</v>
      </c>
      <c r="D24" s="3">
        <v>0</v>
      </c>
      <c r="E24" s="3">
        <v>0</v>
      </c>
      <c r="F24" s="3">
        <v>664.0396225732982</v>
      </c>
      <c r="G24" s="3">
        <v>0</v>
      </c>
      <c r="H24" s="3">
        <v>0</v>
      </c>
      <c r="I24" s="3">
        <v>0</v>
      </c>
    </row>
    <row r="25" spans="1:9" ht="12.75">
      <c r="A25" s="4">
        <v>36890</v>
      </c>
      <c r="B25" s="1" t="s">
        <v>311</v>
      </c>
      <c r="C25" s="3">
        <v>0</v>
      </c>
      <c r="D25" s="3">
        <v>0</v>
      </c>
      <c r="E25" s="3">
        <v>3789.3062434474537</v>
      </c>
      <c r="F25" s="3">
        <v>0</v>
      </c>
      <c r="G25" s="3">
        <v>0</v>
      </c>
      <c r="H25" s="3">
        <v>0</v>
      </c>
      <c r="I25" s="3">
        <v>0</v>
      </c>
    </row>
    <row r="26" spans="1:9" ht="12.75">
      <c r="A26" s="4">
        <v>36890</v>
      </c>
      <c r="B26" s="1" t="s">
        <v>312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7207.259318173602</v>
      </c>
    </row>
    <row r="27" spans="3:9" ht="12.75">
      <c r="C27" s="61">
        <f>SUM(C2:C26)</f>
        <v>1330.3929720545173</v>
      </c>
      <c r="D27" s="61">
        <f aca="true" t="shared" si="0" ref="D27:I27">SUM(D2:D26)</f>
        <v>3898.629839846716</v>
      </c>
      <c r="E27" s="61">
        <f t="shared" si="0"/>
        <v>3789.3062434474537</v>
      </c>
      <c r="F27" s="61">
        <f t="shared" si="0"/>
        <v>6960.847402480027</v>
      </c>
      <c r="G27" s="61">
        <f t="shared" si="0"/>
        <v>0</v>
      </c>
      <c r="H27" s="61">
        <f t="shared" si="0"/>
        <v>2065.001265319403</v>
      </c>
      <c r="I27" s="61">
        <f t="shared" si="0"/>
        <v>7207.259318173602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30"/>
  <dimension ref="A1:H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140625" style="15" customWidth="1"/>
    <col min="2" max="2" width="13.00390625" style="15" customWidth="1"/>
    <col min="3" max="3" width="11.8515625" style="15" customWidth="1"/>
    <col min="4" max="4" width="13.421875" style="15" customWidth="1"/>
    <col min="5" max="5" width="7.28125" style="15" customWidth="1"/>
    <col min="6" max="6" width="30.7109375" style="15" customWidth="1"/>
    <col min="7" max="16384" width="12.7109375" style="15" customWidth="1"/>
  </cols>
  <sheetData>
    <row r="1" spans="1:7" s="155" customFormat="1" ht="18">
      <c r="A1" s="153" t="s">
        <v>906</v>
      </c>
      <c r="B1" s="153"/>
      <c r="C1" s="153"/>
      <c r="D1" s="154"/>
      <c r="E1" s="153"/>
      <c r="F1" s="153"/>
      <c r="G1" s="153"/>
    </row>
    <row r="2" spans="1:7" ht="15">
      <c r="A2" s="112"/>
      <c r="B2" s="112"/>
      <c r="C2" s="112"/>
      <c r="D2" s="112"/>
      <c r="E2" s="112"/>
      <c r="F2" s="112"/>
      <c r="G2" s="112"/>
    </row>
    <row r="3" spans="1:7" ht="24.75" customHeight="1">
      <c r="A3" s="156" t="s">
        <v>876</v>
      </c>
      <c r="B3" s="156"/>
      <c r="C3" s="157"/>
      <c r="D3" s="157"/>
      <c r="E3" s="157"/>
      <c r="F3" s="156" t="s">
        <v>877</v>
      </c>
      <c r="G3" s="156"/>
    </row>
    <row r="4" spans="1:8" ht="15.75">
      <c r="A4" s="107" t="s">
        <v>878</v>
      </c>
      <c r="B4" s="107">
        <v>39.73</v>
      </c>
      <c r="C4" s="112"/>
      <c r="D4" s="112"/>
      <c r="E4" s="112"/>
      <c r="F4" s="107" t="s">
        <v>879</v>
      </c>
      <c r="G4" s="107">
        <v>189.46</v>
      </c>
      <c r="H4" s="158"/>
    </row>
    <row r="5" spans="1:8" ht="15.75">
      <c r="A5" s="107" t="s">
        <v>880</v>
      </c>
      <c r="B5" s="107">
        <v>26.48</v>
      </c>
      <c r="C5" s="112"/>
      <c r="D5" s="112"/>
      <c r="E5" s="112"/>
      <c r="F5" s="107" t="s">
        <v>881</v>
      </c>
      <c r="G5" s="107">
        <v>114.5</v>
      </c>
      <c r="H5" s="158"/>
    </row>
    <row r="6" spans="1:8" ht="15.75">
      <c r="A6" s="107" t="s">
        <v>882</v>
      </c>
      <c r="B6" s="159">
        <f>+B4-B5</f>
        <v>13.249999999999996</v>
      </c>
      <c r="C6" s="160"/>
      <c r="D6" s="112"/>
      <c r="E6" s="112"/>
      <c r="F6" s="107" t="s">
        <v>883</v>
      </c>
      <c r="G6" s="159">
        <f>+('magazzini prodotti'!E64+'magazzini prodotti'!E63)/10</f>
        <v>933.3790000000001</v>
      </c>
      <c r="H6" s="161"/>
    </row>
    <row r="7" spans="1:8" ht="15.75">
      <c r="A7" s="107" t="s">
        <v>884</v>
      </c>
      <c r="B7" s="159">
        <v>4</v>
      </c>
      <c r="C7" s="112"/>
      <c r="D7" s="112"/>
      <c r="E7" s="112"/>
      <c r="F7" s="107" t="s">
        <v>885</v>
      </c>
      <c r="G7" s="162">
        <f>+G6/G5*1000</f>
        <v>8151.781659388648</v>
      </c>
      <c r="H7" s="163"/>
    </row>
    <row r="8" spans="1:7" ht="15.75">
      <c r="A8" s="107" t="s">
        <v>886</v>
      </c>
      <c r="B8" s="164">
        <f>+manodopera!G6</f>
        <v>10020</v>
      </c>
      <c r="C8" s="112"/>
      <c r="D8" s="112"/>
      <c r="E8" s="112"/>
      <c r="F8" s="112"/>
      <c r="G8" s="112"/>
    </row>
    <row r="9" spans="1:7" ht="15.75">
      <c r="A9" s="112"/>
      <c r="B9" s="112"/>
      <c r="C9" s="112"/>
      <c r="D9" s="112"/>
      <c r="E9" s="112"/>
      <c r="F9" s="165" t="s">
        <v>887</v>
      </c>
      <c r="G9" s="165"/>
    </row>
    <row r="10" spans="1:8" ht="15.75">
      <c r="A10" s="114" t="s">
        <v>888</v>
      </c>
      <c r="B10" s="114" t="s">
        <v>336</v>
      </c>
      <c r="C10" s="114" t="s">
        <v>889</v>
      </c>
      <c r="D10" s="107" t="s">
        <v>607</v>
      </c>
      <c r="E10" s="112"/>
      <c r="F10" s="107" t="s">
        <v>890</v>
      </c>
      <c r="G10" s="148">
        <f>+B16/B18*100</f>
        <v>44.640341861431374</v>
      </c>
      <c r="H10" s="161"/>
    </row>
    <row r="11" spans="1:8" ht="15.75">
      <c r="A11" s="107" t="s">
        <v>465</v>
      </c>
      <c r="B11" s="159">
        <v>17.8</v>
      </c>
      <c r="C11" s="148">
        <f>+D11/B11</f>
        <v>53.08988764044943</v>
      </c>
      <c r="D11" s="164">
        <v>945</v>
      </c>
      <c r="E11" s="112"/>
      <c r="F11" s="107" t="s">
        <v>891</v>
      </c>
      <c r="G11" s="164">
        <f>+B18/G4</f>
        <v>4103.1932861817795</v>
      </c>
      <c r="H11" s="163"/>
    </row>
    <row r="12" spans="1:8" ht="15.75">
      <c r="A12" s="107" t="s">
        <v>892</v>
      </c>
      <c r="B12" s="159">
        <v>3.13</v>
      </c>
      <c r="C12" s="148">
        <f>+D12/B12</f>
        <v>11.373801916932909</v>
      </c>
      <c r="D12" s="164">
        <v>35.6</v>
      </c>
      <c r="E12" s="112"/>
      <c r="F12" s="107" t="s">
        <v>893</v>
      </c>
      <c r="G12" s="164">
        <f>+B16/B15</f>
        <v>8734.70928769192</v>
      </c>
      <c r="H12" s="163"/>
    </row>
    <row r="13" spans="1:8" ht="15.75">
      <c r="A13" s="107" t="s">
        <v>894</v>
      </c>
      <c r="B13" s="159">
        <v>18.8</v>
      </c>
      <c r="C13" s="148">
        <f>+D13/B13</f>
        <v>10.00531914893617</v>
      </c>
      <c r="D13" s="164">
        <v>188.1</v>
      </c>
      <c r="E13" s="112"/>
      <c r="F13" s="107" t="s">
        <v>895</v>
      </c>
      <c r="G13" s="159">
        <f>+G4/B15</f>
        <v>4.768688648376541</v>
      </c>
      <c r="H13" s="166"/>
    </row>
    <row r="14" spans="1:8" ht="15.75">
      <c r="A14" s="107" t="s">
        <v>896</v>
      </c>
      <c r="B14" s="159">
        <v>13.07</v>
      </c>
      <c r="C14" s="148">
        <f>+D14/B14</f>
        <v>10.864575363427697</v>
      </c>
      <c r="D14" s="164">
        <v>142</v>
      </c>
      <c r="E14" s="112"/>
      <c r="F14" s="107" t="s">
        <v>897</v>
      </c>
      <c r="G14" s="159">
        <f>+G5/B15</f>
        <v>2.8819531839919454</v>
      </c>
      <c r="H14" s="166"/>
    </row>
    <row r="15" spans="1:8" ht="15.75">
      <c r="A15" s="107" t="s">
        <v>898</v>
      </c>
      <c r="B15" s="159">
        <f>SUM(B11:B13)</f>
        <v>39.730000000000004</v>
      </c>
      <c r="C15" s="162"/>
      <c r="D15" s="107"/>
      <c r="E15" s="112"/>
      <c r="F15" s="107" t="s">
        <v>899</v>
      </c>
      <c r="G15" s="159">
        <f>+G6/B15</f>
        <v>23.493053108482258</v>
      </c>
      <c r="H15" s="166"/>
    </row>
    <row r="16" spans="1:8" ht="15.75">
      <c r="A16" s="107" t="s">
        <v>900</v>
      </c>
      <c r="B16" s="164">
        <v>347030</v>
      </c>
      <c r="C16" s="162"/>
      <c r="D16" s="107"/>
      <c r="E16" s="112"/>
      <c r="F16" s="107" t="s">
        <v>901</v>
      </c>
      <c r="G16" s="148">
        <f>+B$8/B15</f>
        <v>252.2023659702995</v>
      </c>
      <c r="H16" s="161"/>
    </row>
    <row r="17" spans="1:8" ht="15.75">
      <c r="A17" s="107" t="s">
        <v>902</v>
      </c>
      <c r="B17" s="164">
        <v>430361</v>
      </c>
      <c r="C17" s="162"/>
      <c r="D17" s="107"/>
      <c r="E17" s="112"/>
      <c r="F17" s="107" t="s">
        <v>903</v>
      </c>
      <c r="G17" s="148">
        <f>+B$8/G5</f>
        <v>87.51091703056768</v>
      </c>
      <c r="H17" s="161"/>
    </row>
    <row r="18" spans="1:8" ht="15.75">
      <c r="A18" s="141" t="s">
        <v>904</v>
      </c>
      <c r="B18" s="167">
        <f>+B17+B16</f>
        <v>777391</v>
      </c>
      <c r="C18" s="168"/>
      <c r="D18" s="141"/>
      <c r="E18" s="169"/>
      <c r="F18" s="141" t="s">
        <v>905</v>
      </c>
      <c r="G18" s="150">
        <f>+B$8/G6</f>
        <v>10.735189028251115</v>
      </c>
      <c r="H18" s="161"/>
    </row>
    <row r="19" spans="1:7" ht="15">
      <c r="A19" s="144" t="s">
        <v>847</v>
      </c>
      <c r="B19" s="144"/>
      <c r="C19" s="144"/>
      <c r="D19" s="144"/>
      <c r="E19" s="144"/>
      <c r="F19" s="144"/>
      <c r="G19" s="144"/>
    </row>
    <row r="20" spans="1:4" ht="15">
      <c r="A20" s="158"/>
      <c r="B20" s="158"/>
      <c r="C20" s="158"/>
      <c r="D20" s="158"/>
    </row>
    <row r="21" spans="1:4" ht="15">
      <c r="A21" s="158"/>
      <c r="B21" s="166"/>
      <c r="C21" s="163"/>
      <c r="D21" s="158"/>
    </row>
    <row r="22" spans="1:4" ht="15">
      <c r="A22" s="158"/>
      <c r="B22" s="166"/>
      <c r="C22" s="163"/>
      <c r="D22" s="158"/>
    </row>
    <row r="23" spans="1:4" ht="15">
      <c r="A23" s="158"/>
      <c r="B23" s="166"/>
      <c r="C23" s="163"/>
      <c r="D23" s="158"/>
    </row>
    <row r="24" spans="1:4" ht="15">
      <c r="A24" s="158"/>
      <c r="B24" s="166"/>
      <c r="C24" s="163"/>
      <c r="D24" s="158"/>
    </row>
    <row r="25" spans="1:4" ht="15">
      <c r="A25" s="158"/>
      <c r="B25" s="166"/>
      <c r="C25" s="163"/>
      <c r="D25" s="158"/>
    </row>
    <row r="26" spans="1:4" ht="15">
      <c r="A26" s="158"/>
      <c r="B26" s="163"/>
      <c r="C26" s="163"/>
      <c r="D26" s="158"/>
    </row>
    <row r="27" spans="1:4" ht="15">
      <c r="A27" s="158"/>
      <c r="B27" s="163"/>
      <c r="C27" s="163"/>
      <c r="D27" s="158"/>
    </row>
    <row r="28" spans="1:4" ht="15">
      <c r="A28" s="158"/>
      <c r="B28" s="163"/>
      <c r="C28" s="163"/>
      <c r="D28" s="158"/>
    </row>
  </sheetData>
  <printOptions horizontalCentered="1" verticalCentered="1"/>
  <pageMargins left="0.7874015748031497" right="0.7874015748031497" top="1.1811023622047245" bottom="1.1811023622047245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31">
    <pageSetUpPr fitToPage="1"/>
  </sheetPr>
  <dimension ref="A1:H122"/>
  <sheetViews>
    <sheetView workbookViewId="0" topLeftCell="A1">
      <selection activeCell="A1" sqref="A1"/>
    </sheetView>
  </sheetViews>
  <sheetFormatPr defaultColWidth="9.140625" defaultRowHeight="12.75"/>
  <cols>
    <col min="1" max="1" width="19.7109375" style="21" customWidth="1"/>
    <col min="2" max="2" width="17.421875" style="15" customWidth="1"/>
    <col min="3" max="3" width="31.57421875" style="15" customWidth="1"/>
    <col min="4" max="5" width="13.28125" style="15" bestFit="1" customWidth="1"/>
    <col min="6" max="6" width="10.140625" style="15" bestFit="1" customWidth="1"/>
    <col min="7" max="16384" width="9.140625" style="15" customWidth="1"/>
  </cols>
  <sheetData>
    <row r="1" spans="1:5" ht="22.5" customHeight="1">
      <c r="A1" s="116" t="s">
        <v>912</v>
      </c>
      <c r="C1" s="107"/>
      <c r="D1" s="107"/>
      <c r="E1" s="107"/>
    </row>
    <row r="2" spans="1:5" ht="19.5" customHeight="1">
      <c r="A2" s="117"/>
      <c r="B2" s="117"/>
      <c r="C2" s="117"/>
      <c r="D2" s="118" t="s">
        <v>779</v>
      </c>
      <c r="E2" s="118" t="s">
        <v>468</v>
      </c>
    </row>
    <row r="3" spans="1:5" ht="15.75" customHeight="1">
      <c r="A3" s="119"/>
      <c r="B3" s="120" t="s">
        <v>620</v>
      </c>
      <c r="C3" s="121"/>
      <c r="D3" s="170">
        <f>+'magazzini prodotti'!H64</f>
        <v>345032.75416573975</v>
      </c>
      <c r="E3" s="123"/>
    </row>
    <row r="4" spans="1:5" ht="15.75" customHeight="1">
      <c r="A4" s="119"/>
      <c r="B4" s="120" t="s">
        <v>780</v>
      </c>
      <c r="C4" s="121"/>
      <c r="D4" s="170">
        <f>+'Conti colturali '!D5</f>
        <v>27670</v>
      </c>
      <c r="E4" s="123"/>
    </row>
    <row r="5" spans="1:5" ht="15.75" customHeight="1">
      <c r="A5" s="119"/>
      <c r="B5" s="120" t="s">
        <v>429</v>
      </c>
      <c r="C5" s="121"/>
      <c r="D5" s="170">
        <f>+'magazzini prodotti'!H18</f>
        <v>5454.3555</v>
      </c>
      <c r="E5" s="123"/>
    </row>
    <row r="6" spans="1:5" ht="15.75" customHeight="1">
      <c r="A6" s="119"/>
      <c r="B6" s="120" t="s">
        <v>781</v>
      </c>
      <c r="C6" s="121"/>
      <c r="D6" s="170">
        <v>0</v>
      </c>
      <c r="E6" s="123"/>
    </row>
    <row r="7" spans="1:5" ht="15.75">
      <c r="A7" s="35" t="s">
        <v>782</v>
      </c>
      <c r="B7" s="117" t="s">
        <v>783</v>
      </c>
      <c r="C7" s="117"/>
      <c r="D7" s="124"/>
      <c r="E7" s="171">
        <f>SUM(D3:D6)</f>
        <v>378157.10966573976</v>
      </c>
    </row>
    <row r="8" spans="1:5" ht="15.75">
      <c r="A8" s="126"/>
      <c r="B8" s="127" t="s">
        <v>419</v>
      </c>
      <c r="C8" s="128"/>
      <c r="D8" s="172">
        <f>+'magazzini mezzi'!H68+'spese colture'!G12</f>
        <v>2740.3245941638506</v>
      </c>
      <c r="E8" s="129"/>
    </row>
    <row r="9" spans="1:5" ht="15.75">
      <c r="A9" s="119"/>
      <c r="B9" s="120" t="s">
        <v>421</v>
      </c>
      <c r="C9" s="121"/>
      <c r="D9" s="170">
        <f>+'magazzini mezzi'!H43</f>
        <v>3064.5881818181815</v>
      </c>
      <c r="E9" s="123"/>
    </row>
    <row r="10" spans="1:5" ht="15.75">
      <c r="A10" s="119"/>
      <c r="B10" s="120" t="s">
        <v>784</v>
      </c>
      <c r="C10" s="121"/>
      <c r="D10" s="170">
        <f>+'magazzini mezzi'!H57</f>
        <v>970.4741590790542</v>
      </c>
      <c r="E10" s="123"/>
    </row>
    <row r="11" spans="1:5" ht="15.75">
      <c r="A11" s="119"/>
      <c r="B11" s="120" t="s">
        <v>786</v>
      </c>
      <c r="C11" s="121"/>
      <c r="D11" s="170">
        <f>+'spese colture'!K10+'spese colture'!K17</f>
        <v>5621.312465479773</v>
      </c>
      <c r="E11" s="123"/>
    </row>
    <row r="12" spans="1:5" ht="15.75">
      <c r="A12" s="119"/>
      <c r="B12" s="120" t="s">
        <v>785</v>
      </c>
      <c r="C12" s="121"/>
      <c r="D12" s="170">
        <f>+'spese colture'!P10+'spese colture'!P27</f>
        <v>1481.8181348675546</v>
      </c>
      <c r="E12" s="123"/>
    </row>
    <row r="13" spans="1:5" ht="15.75">
      <c r="A13" s="119"/>
      <c r="B13" s="120" t="s">
        <v>573</v>
      </c>
      <c r="C13" s="121"/>
      <c r="D13" s="170">
        <f>+'spese allev'!G65</f>
        <v>105531.60762948864</v>
      </c>
      <c r="E13" s="123"/>
    </row>
    <row r="14" spans="1:5" ht="15.75">
      <c r="A14" s="119"/>
      <c r="B14" s="120" t="s">
        <v>907</v>
      </c>
      <c r="C14" s="121"/>
      <c r="D14" s="170">
        <f>+'spese allev'!H65+'spese allev'!I65</f>
        <v>7675.24</v>
      </c>
      <c r="E14" s="123"/>
    </row>
    <row r="15" spans="1:5" ht="15.75">
      <c r="A15" s="119"/>
      <c r="B15" s="120" t="s">
        <v>787</v>
      </c>
      <c r="C15" s="121"/>
      <c r="D15" s="170">
        <f>+'spese allev'!J65+'spese allev'!K65+'spese allev'!L65+'spese allev'!M65</f>
        <v>29468.416078336173</v>
      </c>
      <c r="E15" s="123"/>
    </row>
    <row r="16" spans="1:5" ht="15.75">
      <c r="A16" s="119"/>
      <c r="B16" s="120" t="s">
        <v>486</v>
      </c>
      <c r="C16" s="121"/>
      <c r="D16" s="170">
        <f>+'magazzini mezzi'!H11+'magazzini mezzi'!H27</f>
        <v>9452.530643298713</v>
      </c>
      <c r="E16" s="123"/>
    </row>
    <row r="17" spans="1:5" ht="15.75">
      <c r="A17" s="119"/>
      <c r="B17" s="120" t="s">
        <v>490</v>
      </c>
      <c r="C17" s="121"/>
      <c r="D17" s="170">
        <f>+'spese varie'!F27</f>
        <v>6960.847402480027</v>
      </c>
      <c r="E17" s="123"/>
    </row>
    <row r="18" spans="1:5" ht="15.75">
      <c r="A18" s="130" t="s">
        <v>788</v>
      </c>
      <c r="B18" s="131" t="s">
        <v>789</v>
      </c>
      <c r="C18" s="131"/>
      <c r="D18" s="174"/>
      <c r="E18" s="173">
        <f>SUM(D8:D17)</f>
        <v>172967.15928901196</v>
      </c>
    </row>
    <row r="19" spans="1:5" ht="15.75">
      <c r="A19" s="126"/>
      <c r="B19" s="127" t="s">
        <v>790</v>
      </c>
      <c r="C19" s="128"/>
      <c r="D19" s="172">
        <f>+'Conti colturali '!B21</f>
        <v>3330</v>
      </c>
      <c r="E19" s="129"/>
    </row>
    <row r="20" spans="1:5" ht="15.75">
      <c r="A20" s="119"/>
      <c r="B20" s="120" t="s">
        <v>791</v>
      </c>
      <c r="C20" s="121"/>
      <c r="D20" s="170">
        <f>+'Conti colturali '!B18</f>
        <v>27651.5</v>
      </c>
      <c r="E20" s="123"/>
    </row>
    <row r="21" spans="1:5" ht="15.75">
      <c r="A21" s="119"/>
      <c r="B21" s="120" t="s">
        <v>792</v>
      </c>
      <c r="C21" s="121"/>
      <c r="D21" s="170">
        <f>+'spese varie'!E27</f>
        <v>3789.3062434474537</v>
      </c>
      <c r="E21" s="123"/>
    </row>
    <row r="22" spans="1:5" ht="15.75">
      <c r="A22" s="119"/>
      <c r="B22" s="120" t="s">
        <v>793</v>
      </c>
      <c r="C22" s="121"/>
      <c r="D22" s="170">
        <f>+'spese mecc'!H13+'spese mecc'!J13</f>
        <v>4355.590904161094</v>
      </c>
      <c r="E22" s="123"/>
    </row>
    <row r="23" spans="1:5" ht="15.75">
      <c r="A23" s="119"/>
      <c r="B23" s="120" t="s">
        <v>794</v>
      </c>
      <c r="C23" s="121"/>
      <c r="D23" s="170">
        <f>+'spese varie'!C27</f>
        <v>1330.3929720545173</v>
      </c>
      <c r="E23" s="123"/>
    </row>
    <row r="24" spans="1:5" ht="15.75">
      <c r="A24" s="130" t="s">
        <v>795</v>
      </c>
      <c r="B24" s="131" t="s">
        <v>796</v>
      </c>
      <c r="C24" s="131"/>
      <c r="D24" s="133"/>
      <c r="E24" s="173">
        <f>SUM(D19:D23)</f>
        <v>40456.79011966307</v>
      </c>
    </row>
    <row r="25" spans="1:5" ht="15.75">
      <c r="A25" s="126"/>
      <c r="B25" s="127" t="s">
        <v>451</v>
      </c>
      <c r="C25" s="128"/>
      <c r="D25" s="172">
        <f>+'spese varie'!D27+'spese varie'!H27</f>
        <v>5963.63110516612</v>
      </c>
      <c r="E25" s="129"/>
    </row>
    <row r="26" spans="1:5" ht="15.75">
      <c r="A26" s="119"/>
      <c r="B26" s="120" t="s">
        <v>797</v>
      </c>
      <c r="C26" s="121"/>
      <c r="D26" s="170">
        <f>+(E7-D5)*0.015</f>
        <v>5590.541312486096</v>
      </c>
      <c r="E26" s="123"/>
    </row>
    <row r="27" spans="1:5" ht="15.75">
      <c r="A27" s="119"/>
      <c r="B27" s="120" t="s">
        <v>798</v>
      </c>
      <c r="C27" s="121"/>
      <c r="D27" s="170">
        <f>+(E7-D5-E18-E24-D25-D26-D39-D43)*0.019</f>
        <v>2669.830087403539</v>
      </c>
      <c r="E27" s="123"/>
    </row>
    <row r="28" spans="1:5" ht="15.75">
      <c r="A28" s="130" t="s">
        <v>799</v>
      </c>
      <c r="B28" s="131" t="s">
        <v>800</v>
      </c>
      <c r="C28" s="131"/>
      <c r="D28" s="133"/>
      <c r="E28" s="173">
        <f>SUM(D25:D27)</f>
        <v>14224.002505055754</v>
      </c>
    </row>
    <row r="29" spans="1:5" ht="15.75">
      <c r="A29" s="35" t="s">
        <v>801</v>
      </c>
      <c r="B29" s="117" t="s">
        <v>802</v>
      </c>
      <c r="C29" s="117"/>
      <c r="D29" s="134"/>
      <c r="E29" s="171">
        <f>+E28+E24+E18</f>
        <v>227647.9519137308</v>
      </c>
    </row>
    <row r="30" spans="1:5" ht="15.75">
      <c r="A30" s="35" t="s">
        <v>803</v>
      </c>
      <c r="B30" s="117" t="s">
        <v>804</v>
      </c>
      <c r="C30" s="135"/>
      <c r="D30" s="134"/>
      <c r="E30" s="171">
        <f>+E7-E29</f>
        <v>150509.15775200896</v>
      </c>
    </row>
    <row r="31" spans="1:5" ht="15.75">
      <c r="A31" s="126"/>
      <c r="B31" s="127" t="s">
        <v>805</v>
      </c>
      <c r="C31" s="136"/>
      <c r="D31" s="172">
        <f>+manodopera!I6</f>
        <v>36364.0401390302</v>
      </c>
      <c r="E31" s="129"/>
    </row>
    <row r="32" spans="1:5" ht="15.75">
      <c r="A32" s="119"/>
      <c r="B32" s="120" t="s">
        <v>806</v>
      </c>
      <c r="C32" s="137"/>
      <c r="D32" s="170">
        <v>0</v>
      </c>
      <c r="E32" s="123"/>
    </row>
    <row r="33" spans="1:5" ht="15.75">
      <c r="A33" s="119"/>
      <c r="B33" s="120" t="s">
        <v>807</v>
      </c>
      <c r="C33" s="137"/>
      <c r="D33" s="170">
        <f>+manodopera!J4+manodopera!J5</f>
        <v>13037.954417514087</v>
      </c>
      <c r="E33" s="123"/>
    </row>
    <row r="34" spans="1:5" ht="15.75">
      <c r="A34" s="119"/>
      <c r="B34" s="120" t="s">
        <v>808</v>
      </c>
      <c r="C34" s="137"/>
      <c r="D34" s="170">
        <f>+manodopera!L6</f>
        <v>34826.90076138912</v>
      </c>
      <c r="E34" s="123"/>
    </row>
    <row r="35" spans="1:5" ht="15.75">
      <c r="A35" s="119"/>
      <c r="B35" s="120" t="s">
        <v>809</v>
      </c>
      <c r="C35" s="137"/>
      <c r="D35" s="170">
        <f>+manodopera!J3</f>
        <v>2731.850413423748</v>
      </c>
      <c r="E35" s="123"/>
    </row>
    <row r="36" spans="1:5" ht="15.75">
      <c r="A36" s="130" t="s">
        <v>810</v>
      </c>
      <c r="B36" s="131" t="s">
        <v>811</v>
      </c>
      <c r="C36" s="138"/>
      <c r="D36" s="132"/>
      <c r="E36" s="173">
        <f>SUM(D31:D35)</f>
        <v>86960.74573135715</v>
      </c>
    </row>
    <row r="37" spans="1:5" ht="15.75">
      <c r="A37" s="35" t="s">
        <v>812</v>
      </c>
      <c r="B37" s="117" t="s">
        <v>813</v>
      </c>
      <c r="C37" s="117"/>
      <c r="D37" s="134"/>
      <c r="E37" s="125"/>
    </row>
    <row r="38" spans="1:5" ht="15.75">
      <c r="A38" s="126"/>
      <c r="B38" s="127" t="s">
        <v>814</v>
      </c>
      <c r="C38" s="128"/>
      <c r="D38" s="172">
        <f>+'Conti colturali '!B29</f>
        <v>3512.5823748470552</v>
      </c>
      <c r="E38" s="129"/>
    </row>
    <row r="39" spans="1:5" ht="15.75">
      <c r="A39" s="119"/>
      <c r="B39" s="120" t="s">
        <v>815</v>
      </c>
      <c r="C39" s="121"/>
      <c r="D39" s="122">
        <v>0</v>
      </c>
      <c r="E39" s="123"/>
    </row>
    <row r="40" spans="1:5" ht="15.75">
      <c r="A40" s="119"/>
      <c r="B40" s="120" t="s">
        <v>816</v>
      </c>
      <c r="C40" s="121"/>
      <c r="D40" s="170">
        <f>+'Conti colturali '!B32+'Conti colturali '!B33+'Conti colturali '!B34+'Conti colturali '!B35</f>
        <v>22617.63335522211</v>
      </c>
      <c r="E40" s="123"/>
    </row>
    <row r="41" spans="1:5" ht="15.75">
      <c r="A41" s="130" t="s">
        <v>817</v>
      </c>
      <c r="B41" s="131" t="s">
        <v>818</v>
      </c>
      <c r="C41" s="131"/>
      <c r="D41" s="132"/>
      <c r="E41" s="173">
        <f>SUM(D38:D40)</f>
        <v>26130.215730069165</v>
      </c>
    </row>
    <row r="42" spans="1:5" ht="15.75">
      <c r="A42" s="126"/>
      <c r="B42" s="127" t="s">
        <v>819</v>
      </c>
      <c r="C42" s="128"/>
      <c r="D42" s="172">
        <f>+terreni!H8</f>
        <v>3800.9</v>
      </c>
      <c r="E42" s="129"/>
    </row>
    <row r="43" spans="1:5" ht="15.75">
      <c r="A43" s="119"/>
      <c r="B43" s="120" t="s">
        <v>498</v>
      </c>
      <c r="C43" s="121"/>
      <c r="D43" s="170">
        <f>+'spese varie'!I27</f>
        <v>7207.259318173602</v>
      </c>
      <c r="E43" s="123"/>
    </row>
    <row r="44" spans="1:5" ht="15.75">
      <c r="A44" s="130" t="s">
        <v>820</v>
      </c>
      <c r="B44" s="131" t="s">
        <v>821</v>
      </c>
      <c r="C44" s="131"/>
      <c r="D44" s="133"/>
      <c r="E44" s="173">
        <f>+D42+D43</f>
        <v>11008.159318173603</v>
      </c>
    </row>
    <row r="45" spans="1:5" ht="15.75">
      <c r="A45" s="126" t="s">
        <v>822</v>
      </c>
      <c r="B45" s="128" t="s">
        <v>823</v>
      </c>
      <c r="C45" s="128"/>
      <c r="D45" s="139"/>
      <c r="E45" s="175">
        <f>+E36+E37+E41+E44</f>
        <v>124099.1207795999</v>
      </c>
    </row>
    <row r="46" spans="1:5" ht="15.75">
      <c r="A46" s="119" t="s">
        <v>824</v>
      </c>
      <c r="B46" s="121" t="s">
        <v>825</v>
      </c>
      <c r="C46" s="137"/>
      <c r="D46" s="140"/>
      <c r="E46" s="176">
        <f>+D31+D32+D33+D35+D38+D39+D43</f>
        <v>62853.68666298869</v>
      </c>
    </row>
    <row r="47" spans="1:5" ht="15.75">
      <c r="A47" s="130" t="s">
        <v>826</v>
      </c>
      <c r="B47" s="131" t="s">
        <v>827</v>
      </c>
      <c r="C47" s="138"/>
      <c r="D47" s="132"/>
      <c r="E47" s="173">
        <f>+D34+E37+D40+D42</f>
        <v>61245.434116611235</v>
      </c>
    </row>
    <row r="48" spans="1:5" ht="15.75">
      <c r="A48" s="35" t="s">
        <v>828</v>
      </c>
      <c r="B48" s="117" t="s">
        <v>829</v>
      </c>
      <c r="C48" s="135"/>
      <c r="D48" s="134"/>
      <c r="E48" s="171">
        <f>+E30-E46</f>
        <v>87655.47108902027</v>
      </c>
    </row>
    <row r="49" spans="1:6" ht="15.75">
      <c r="A49" s="35" t="s">
        <v>830</v>
      </c>
      <c r="B49" s="117" t="s">
        <v>831</v>
      </c>
      <c r="C49" s="135"/>
      <c r="D49" s="134"/>
      <c r="E49" s="171">
        <f>+E30-E41-E44</f>
        <v>113370.78270376619</v>
      </c>
      <c r="F49" s="113"/>
    </row>
    <row r="50" spans="1:6" ht="15.75">
      <c r="A50" s="27" t="s">
        <v>832</v>
      </c>
      <c r="B50" s="141" t="s">
        <v>833</v>
      </c>
      <c r="C50" s="25"/>
      <c r="D50" s="142"/>
      <c r="E50" s="177">
        <f>+E49-D31-D32-D33</f>
        <v>63968.7881472219</v>
      </c>
      <c r="F50" s="113"/>
    </row>
    <row r="51" spans="1:5" ht="15.75">
      <c r="A51" s="27" t="s">
        <v>834</v>
      </c>
      <c r="B51" s="141" t="s">
        <v>835</v>
      </c>
      <c r="C51" s="25"/>
      <c r="D51" s="142"/>
      <c r="E51" s="177">
        <f>+E30-E45</f>
        <v>26410.036972409056</v>
      </c>
    </row>
    <row r="52" spans="2:5" ht="15.75">
      <c r="B52" s="107"/>
      <c r="C52" s="107"/>
      <c r="D52" s="110"/>
      <c r="E52" s="108"/>
    </row>
    <row r="53" spans="1:5" ht="15.75">
      <c r="A53" s="21" t="s">
        <v>836</v>
      </c>
      <c r="B53" s="107"/>
      <c r="C53" s="107" t="s">
        <v>837</v>
      </c>
      <c r="D53" s="110"/>
      <c r="E53" s="178">
        <f>+E29+E45</f>
        <v>351747.0726933307</v>
      </c>
    </row>
    <row r="54" spans="1:5" ht="15.75">
      <c r="A54" s="21" t="s">
        <v>939</v>
      </c>
      <c r="B54" s="107"/>
      <c r="C54" s="107" t="s">
        <v>609</v>
      </c>
      <c r="D54" s="110"/>
      <c r="E54" s="178">
        <f>+E24+D25+E36+E37+D38+E44+D17</f>
        <v>154862.75605168703</v>
      </c>
    </row>
    <row r="55" spans="1:6" ht="15.75">
      <c r="A55" s="21" t="s">
        <v>938</v>
      </c>
      <c r="B55" s="107"/>
      <c r="C55" s="107" t="s">
        <v>720</v>
      </c>
      <c r="D55" s="110"/>
      <c r="E55" s="178">
        <f>+E53-E54</f>
        <v>196884.31664164367</v>
      </c>
      <c r="F55" s="113"/>
    </row>
    <row r="56" spans="1:5" ht="15.75">
      <c r="A56" s="21" t="s">
        <v>838</v>
      </c>
      <c r="B56" s="107"/>
      <c r="C56" s="107" t="s">
        <v>839</v>
      </c>
      <c r="D56" s="110"/>
      <c r="E56" s="178">
        <f>+E29+E46</f>
        <v>290501.6385767195</v>
      </c>
    </row>
    <row r="57" spans="1:5" ht="15.75">
      <c r="A57" s="27" t="s">
        <v>840</v>
      </c>
      <c r="B57" s="141"/>
      <c r="C57" s="141" t="s">
        <v>841</v>
      </c>
      <c r="D57" s="143"/>
      <c r="E57" s="177">
        <f>+E47</f>
        <v>61245.434116611235</v>
      </c>
    </row>
    <row r="58" spans="2:5" ht="15.75">
      <c r="B58" s="144"/>
      <c r="C58" s="112"/>
      <c r="D58" s="112"/>
      <c r="E58" s="110"/>
    </row>
    <row r="59" spans="2:5" ht="15.75">
      <c r="B59" s="144"/>
      <c r="C59" s="112"/>
      <c r="D59" s="112"/>
      <c r="E59" s="112"/>
    </row>
    <row r="60" spans="2:5" ht="15.75">
      <c r="B60" s="144"/>
      <c r="C60" s="112"/>
      <c r="D60" s="112"/>
      <c r="E60" s="112"/>
    </row>
    <row r="61" spans="2:5" ht="22.5" customHeight="1">
      <c r="B61"/>
      <c r="C61"/>
      <c r="D61"/>
      <c r="E61"/>
    </row>
    <row r="62" spans="2:5" ht="19.5" customHeight="1">
      <c r="B62"/>
      <c r="C62"/>
      <c r="D62"/>
      <c r="E62"/>
    </row>
    <row r="63" spans="2:5" ht="15.75">
      <c r="B63"/>
      <c r="C63"/>
      <c r="D63"/>
      <c r="E63"/>
    </row>
    <row r="64" spans="2:5" ht="15.75">
      <c r="B64"/>
      <c r="C64"/>
      <c r="D64"/>
      <c r="E64"/>
    </row>
    <row r="65" spans="2:5" ht="15.75">
      <c r="B65"/>
      <c r="C65"/>
      <c r="D65"/>
      <c r="E65"/>
    </row>
    <row r="66" spans="2:5" ht="15.75">
      <c r="B66"/>
      <c r="C66"/>
      <c r="D66"/>
      <c r="E66"/>
    </row>
    <row r="67" spans="2:5" ht="15.75">
      <c r="B67"/>
      <c r="C67"/>
      <c r="D67"/>
      <c r="E67"/>
    </row>
    <row r="68" spans="2:5" ht="15.75">
      <c r="B68"/>
      <c r="C68"/>
      <c r="D68"/>
      <c r="E68"/>
    </row>
    <row r="69" spans="2:5" ht="15.75">
      <c r="B69"/>
      <c r="C69"/>
      <c r="D69"/>
      <c r="E69"/>
    </row>
    <row r="70" spans="2:5" ht="15.75">
      <c r="B70"/>
      <c r="C70"/>
      <c r="D70"/>
      <c r="E70"/>
    </row>
    <row r="71" spans="2:5" ht="15.75">
      <c r="B71"/>
      <c r="C71"/>
      <c r="D71"/>
      <c r="E71"/>
    </row>
    <row r="72" spans="2:5" ht="15.75">
      <c r="B72"/>
      <c r="C72"/>
      <c r="D72"/>
      <c r="E72"/>
    </row>
    <row r="73" spans="2:5" ht="15.75">
      <c r="B73"/>
      <c r="C73"/>
      <c r="D73"/>
      <c r="E73"/>
    </row>
    <row r="74" spans="2:5" ht="15.75">
      <c r="B74"/>
      <c r="C74"/>
      <c r="D74"/>
      <c r="E74"/>
    </row>
    <row r="75" spans="2:5" ht="15.75">
      <c r="B75"/>
      <c r="C75"/>
      <c r="D75"/>
      <c r="E75"/>
    </row>
    <row r="76" spans="2:5" ht="15.75">
      <c r="B76"/>
      <c r="C76"/>
      <c r="D76"/>
      <c r="E76"/>
    </row>
    <row r="77" spans="2:5" ht="15.75">
      <c r="B77"/>
      <c r="C77"/>
      <c r="D77"/>
      <c r="E77"/>
    </row>
    <row r="78" spans="2:5" ht="15.75">
      <c r="B78"/>
      <c r="C78"/>
      <c r="D78"/>
      <c r="E78"/>
    </row>
    <row r="79" spans="2:5" ht="15.75">
      <c r="B79"/>
      <c r="C79"/>
      <c r="D79"/>
      <c r="E79"/>
    </row>
    <row r="80" spans="2:5" ht="15.75">
      <c r="B80"/>
      <c r="C80"/>
      <c r="D80"/>
      <c r="E80"/>
    </row>
    <row r="81" spans="2:5" ht="15.75">
      <c r="B81"/>
      <c r="C81"/>
      <c r="D81"/>
      <c r="E81"/>
    </row>
    <row r="82" spans="2:5" ht="15.75">
      <c r="B82"/>
      <c r="C82"/>
      <c r="D82"/>
      <c r="E82"/>
    </row>
    <row r="83" spans="2:5" ht="15.75">
      <c r="B83"/>
      <c r="C83"/>
      <c r="D83"/>
      <c r="E83"/>
    </row>
    <row r="84" spans="2:5" ht="15.75">
      <c r="B84"/>
      <c r="C84"/>
      <c r="D84"/>
      <c r="E84"/>
    </row>
    <row r="85" spans="2:5" ht="15.75">
      <c r="B85"/>
      <c r="C85"/>
      <c r="D85"/>
      <c r="E85"/>
    </row>
    <row r="86" spans="2:5" ht="15.75">
      <c r="B86"/>
      <c r="C86"/>
      <c r="D86"/>
      <c r="E86"/>
    </row>
    <row r="87" spans="2:5" ht="15.75">
      <c r="B87"/>
      <c r="C87"/>
      <c r="D87"/>
      <c r="E87"/>
    </row>
    <row r="88" spans="2:5" ht="15.75">
      <c r="B88"/>
      <c r="C88"/>
      <c r="D88"/>
      <c r="E88"/>
    </row>
    <row r="89" spans="2:5" ht="15.75">
      <c r="B89"/>
      <c r="C89"/>
      <c r="D89"/>
      <c r="E89"/>
    </row>
    <row r="90" spans="2:5" ht="15.75">
      <c r="B90"/>
      <c r="C90"/>
      <c r="D90"/>
      <c r="E90"/>
    </row>
    <row r="91" spans="2:5" ht="15.75">
      <c r="B91"/>
      <c r="C91"/>
      <c r="D91"/>
      <c r="E91"/>
    </row>
    <row r="92" spans="2:5" ht="15.75">
      <c r="B92"/>
      <c r="C92"/>
      <c r="D92"/>
      <c r="E92"/>
    </row>
    <row r="93" spans="2:5" ht="15.75">
      <c r="B93"/>
      <c r="C93"/>
      <c r="D93"/>
      <c r="E93"/>
    </row>
    <row r="94" spans="2:5" ht="15.75">
      <c r="B94"/>
      <c r="C94"/>
      <c r="D94"/>
      <c r="E94"/>
    </row>
    <row r="95" spans="2:5" ht="15.75">
      <c r="B95"/>
      <c r="C95"/>
      <c r="D95"/>
      <c r="E95"/>
    </row>
    <row r="96" spans="2:5" ht="15.75">
      <c r="B96"/>
      <c r="C96"/>
      <c r="D96"/>
      <c r="E96"/>
    </row>
    <row r="97" spans="2:5" ht="15.75">
      <c r="B97"/>
      <c r="C97"/>
      <c r="D97"/>
      <c r="E97"/>
    </row>
    <row r="98" spans="2:5" ht="15.75">
      <c r="B98"/>
      <c r="C98"/>
      <c r="D98"/>
      <c r="E98"/>
    </row>
    <row r="99" spans="2:5" ht="15.75">
      <c r="B99"/>
      <c r="C99"/>
      <c r="D99"/>
      <c r="E99"/>
    </row>
    <row r="100" spans="2:5" ht="15.75">
      <c r="B100"/>
      <c r="C100"/>
      <c r="D100"/>
      <c r="E100"/>
    </row>
    <row r="101" spans="2:5" ht="15.75">
      <c r="B101"/>
      <c r="C101"/>
      <c r="D101"/>
      <c r="E101"/>
    </row>
    <row r="102" spans="2:5" ht="15.75">
      <c r="B102"/>
      <c r="C102"/>
      <c r="D102"/>
      <c r="E102"/>
    </row>
    <row r="103" spans="2:8" ht="15.75">
      <c r="B103"/>
      <c r="C103"/>
      <c r="D103"/>
      <c r="E103"/>
      <c r="H103" s="145"/>
    </row>
    <row r="104" spans="2:5" ht="15.75">
      <c r="B104"/>
      <c r="C104"/>
      <c r="D104"/>
      <c r="E104"/>
    </row>
    <row r="105" spans="2:5" ht="15.75">
      <c r="B105"/>
      <c r="C105"/>
      <c r="D105"/>
      <c r="E105"/>
    </row>
    <row r="106" spans="2:5" ht="15.75">
      <c r="B106"/>
      <c r="C106"/>
      <c r="D106"/>
      <c r="E106"/>
    </row>
    <row r="107" spans="2:5" ht="15.75">
      <c r="B107"/>
      <c r="C107"/>
      <c r="D107"/>
      <c r="E107"/>
    </row>
    <row r="108" spans="2:5" ht="15.75">
      <c r="B108"/>
      <c r="C108"/>
      <c r="D108"/>
      <c r="E108"/>
    </row>
    <row r="109" spans="2:5" ht="15.75">
      <c r="B109"/>
      <c r="C109"/>
      <c r="D109"/>
      <c r="E109"/>
    </row>
    <row r="110" spans="2:6" ht="15.75">
      <c r="B110"/>
      <c r="C110"/>
      <c r="D110"/>
      <c r="E110"/>
      <c r="F110" s="115"/>
    </row>
    <row r="111" spans="2:6" ht="15.75">
      <c r="B111"/>
      <c r="C111"/>
      <c r="D111"/>
      <c r="E111"/>
      <c r="F111" s="115"/>
    </row>
    <row r="112" spans="2:6" ht="15.75">
      <c r="B112"/>
      <c r="C112"/>
      <c r="D112"/>
      <c r="E112"/>
      <c r="F112" s="115"/>
    </row>
    <row r="113" spans="2:5" ht="15.75">
      <c r="B113"/>
      <c r="C113"/>
      <c r="D113"/>
      <c r="E113"/>
    </row>
    <row r="114" spans="2:7" ht="15.75">
      <c r="B114"/>
      <c r="C114"/>
      <c r="D114"/>
      <c r="E114"/>
      <c r="G114" s="115"/>
    </row>
    <row r="115" spans="2:5" ht="15.75">
      <c r="B115"/>
      <c r="C115"/>
      <c r="D115"/>
      <c r="E115"/>
    </row>
    <row r="116" spans="2:5" ht="15.75">
      <c r="B116"/>
      <c r="C116"/>
      <c r="D116"/>
      <c r="E116"/>
    </row>
    <row r="117" spans="2:5" ht="15.75">
      <c r="B117"/>
      <c r="C117"/>
      <c r="D117"/>
      <c r="E117"/>
    </row>
    <row r="118" spans="2:5" ht="15.75">
      <c r="B118"/>
      <c r="C118"/>
      <c r="D118"/>
      <c r="E118"/>
    </row>
    <row r="119" spans="2:5" ht="15.75">
      <c r="B119"/>
      <c r="C119"/>
      <c r="D119"/>
      <c r="E119"/>
    </row>
    <row r="120" spans="2:5" ht="15.75">
      <c r="B120"/>
      <c r="C120"/>
      <c r="D120"/>
      <c r="E120"/>
    </row>
    <row r="121" spans="2:5" ht="15.75">
      <c r="B121"/>
      <c r="C121"/>
      <c r="D121"/>
      <c r="E121"/>
    </row>
    <row r="122" spans="2:5" ht="15.75">
      <c r="B122"/>
      <c r="C122"/>
      <c r="D122"/>
      <c r="E122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34">
    <pageSetUpPr fitToPage="1"/>
  </sheetPr>
  <dimension ref="A1:I62"/>
  <sheetViews>
    <sheetView workbookViewId="0" topLeftCell="A1">
      <selection activeCell="D23" sqref="D23"/>
    </sheetView>
  </sheetViews>
  <sheetFormatPr defaultColWidth="9.140625" defaultRowHeight="12.75"/>
  <cols>
    <col min="1" max="1" width="15.57421875" style="15" customWidth="1"/>
    <col min="2" max="4" width="13.8515625" style="15" customWidth="1"/>
    <col min="5" max="5" width="14.7109375" style="15" customWidth="1"/>
    <col min="6" max="6" width="13.8515625" style="15" customWidth="1"/>
    <col min="7" max="16384" width="9.140625" style="15" customWidth="1"/>
  </cols>
  <sheetData>
    <row r="1" s="116" customFormat="1" ht="20.25" customHeight="1">
      <c r="A1" s="116" t="s">
        <v>913</v>
      </c>
    </row>
    <row r="2" spans="1:6" ht="34.5" customHeight="1">
      <c r="A2" s="146" t="s">
        <v>842</v>
      </c>
      <c r="B2" s="147" t="s">
        <v>843</v>
      </c>
      <c r="C2" s="147" t="s">
        <v>943</v>
      </c>
      <c r="D2" s="147" t="s">
        <v>908</v>
      </c>
      <c r="E2" s="147" t="s">
        <v>844</v>
      </c>
      <c r="F2" s="147" t="s">
        <v>845</v>
      </c>
    </row>
    <row r="3" spans="1:6" ht="15.75">
      <c r="A3" s="107" t="s">
        <v>620</v>
      </c>
      <c r="B3" s="159">
        <f>+'Conti colturali '!B4/10</f>
        <v>933.369</v>
      </c>
      <c r="C3" s="159">
        <f>+'Conti colturali '!C4*10</f>
        <v>369.6638244528581</v>
      </c>
      <c r="D3" s="179">
        <f>+C3*B3</f>
        <v>345032.7541657397</v>
      </c>
      <c r="E3" s="159">
        <f>+D3/$C$3</f>
        <v>933.369</v>
      </c>
      <c r="F3" s="149">
        <f>+D3/$D$5</f>
        <v>0.9257585309184615</v>
      </c>
    </row>
    <row r="4" spans="1:6" ht="15.75">
      <c r="A4" s="107" t="s">
        <v>780</v>
      </c>
      <c r="B4" s="107"/>
      <c r="C4" s="159"/>
      <c r="D4" s="179">
        <f>+'Bilancio compilato'!D4</f>
        <v>27670</v>
      </c>
      <c r="E4" s="159">
        <f>+D4/$C$3</f>
        <v>74.85179281731058</v>
      </c>
      <c r="F4" s="149">
        <f>+D4/$D$5</f>
        <v>0.07424146908153847</v>
      </c>
    </row>
    <row r="5" spans="1:6" ht="15.75">
      <c r="A5" s="141" t="s">
        <v>846</v>
      </c>
      <c r="B5" s="141"/>
      <c r="C5" s="141"/>
      <c r="D5" s="181">
        <f>SUM(D3:D4)</f>
        <v>372702.7541657397</v>
      </c>
      <c r="E5" s="180">
        <f>SUM(E3:E4)</f>
        <v>1008.2207928173107</v>
      </c>
      <c r="F5" s="151">
        <f>+D5/$D$5</f>
        <v>1</v>
      </c>
    </row>
    <row r="6" spans="1:6" ht="15">
      <c r="A6" s="144"/>
      <c r="B6" s="112"/>
      <c r="C6" s="112"/>
      <c r="D6" s="112"/>
      <c r="E6" s="112"/>
      <c r="F6" s="112"/>
    </row>
    <row r="7" spans="1:6" ht="22.5" customHeight="1">
      <c r="A7" s="116" t="s">
        <v>914</v>
      </c>
      <c r="B7" s="107"/>
      <c r="C7" s="107"/>
      <c r="D7" s="107"/>
      <c r="E7" s="107"/>
      <c r="F7" s="107"/>
    </row>
    <row r="8" spans="1:6" ht="19.5" customHeight="1">
      <c r="A8" s="117" t="s">
        <v>848</v>
      </c>
      <c r="B8" s="117"/>
      <c r="C8" s="152" t="s">
        <v>942</v>
      </c>
      <c r="D8" s="152"/>
      <c r="E8" s="118" t="s">
        <v>944</v>
      </c>
      <c r="F8" s="118" t="s">
        <v>845</v>
      </c>
    </row>
    <row r="9" spans="1:6" ht="15.75">
      <c r="A9" s="107" t="s">
        <v>849</v>
      </c>
      <c r="B9" s="107"/>
      <c r="C9" s="178"/>
      <c r="D9" s="178">
        <f>+'Bilancio compilato'!D13</f>
        <v>105531.60762948864</v>
      </c>
      <c r="E9" s="159">
        <f>+D9/$E$5</f>
        <v>104.67112797247273</v>
      </c>
      <c r="F9" s="149">
        <f>+E9/$E$51</f>
        <v>0.2916755039944002</v>
      </c>
    </row>
    <row r="10" spans="1:6" ht="15.75">
      <c r="A10" s="107" t="s">
        <v>850</v>
      </c>
      <c r="B10" s="107"/>
      <c r="C10" s="178"/>
      <c r="D10" s="178">
        <f>+'Bilancio compilato'!D14</f>
        <v>7675.24</v>
      </c>
      <c r="E10" s="159">
        <f>+D10/$E$5</f>
        <v>7.612657916479561</v>
      </c>
      <c r="F10" s="149">
        <f>+E10/$E$51</f>
        <v>0.021213355368732454</v>
      </c>
    </row>
    <row r="11" spans="1:6" ht="15.75">
      <c r="A11" s="107" t="s">
        <v>851</v>
      </c>
      <c r="B11" s="107"/>
      <c r="C11" s="178"/>
      <c r="D11" s="178">
        <f>+D9+D10</f>
        <v>113206.84762948865</v>
      </c>
      <c r="E11" s="159">
        <f>+D11/$E$5</f>
        <v>112.2837858889523</v>
      </c>
      <c r="F11" s="149">
        <f>+E11/$E$51</f>
        <v>0.31288885936313265</v>
      </c>
    </row>
    <row r="12" spans="1:6" ht="15">
      <c r="A12" s="112" t="s">
        <v>419</v>
      </c>
      <c r="B12" s="112"/>
      <c r="C12" s="182">
        <f>+'Bilancio compilato'!D8</f>
        <v>2740.3245941638506</v>
      </c>
      <c r="D12" s="182"/>
      <c r="E12" s="160"/>
      <c r="F12" s="112"/>
    </row>
    <row r="13" spans="1:6" ht="15">
      <c r="A13" s="112" t="s">
        <v>852</v>
      </c>
      <c r="B13" s="112"/>
      <c r="C13" s="182">
        <f>+'Bilancio compilato'!D9</f>
        <v>3064.5881818181815</v>
      </c>
      <c r="D13" s="182"/>
      <c r="E13" s="160"/>
      <c r="F13" s="112"/>
    </row>
    <row r="14" spans="1:6" ht="15">
      <c r="A14" s="112" t="s">
        <v>853</v>
      </c>
      <c r="B14" s="112"/>
      <c r="C14" s="182">
        <f>+'Bilancio compilato'!D10</f>
        <v>970.4741590790542</v>
      </c>
      <c r="D14" s="182"/>
      <c r="E14" s="160"/>
      <c r="F14" s="112"/>
    </row>
    <row r="15" spans="1:6" ht="15">
      <c r="A15" s="112" t="s">
        <v>786</v>
      </c>
      <c r="B15" s="112"/>
      <c r="C15" s="182">
        <f>+'Bilancio compilato'!D11</f>
        <v>5621.312465479773</v>
      </c>
      <c r="D15" s="182"/>
      <c r="E15" s="160"/>
      <c r="F15" s="112"/>
    </row>
    <row r="16" spans="1:6" ht="15">
      <c r="A16" s="112" t="s">
        <v>420</v>
      </c>
      <c r="B16" s="112"/>
      <c r="C16" s="182">
        <f>+'Bilancio compilato'!D12</f>
        <v>1481.8181348675546</v>
      </c>
      <c r="D16" s="182"/>
      <c r="E16" s="160"/>
      <c r="F16" s="112"/>
    </row>
    <row r="17" spans="1:6" ht="15.75">
      <c r="A17" s="107" t="s">
        <v>854</v>
      </c>
      <c r="B17" s="107"/>
      <c r="C17" s="178"/>
      <c r="D17" s="178">
        <f>SUM(C12:C16)</f>
        <v>13878.517535408415</v>
      </c>
      <c r="E17" s="159">
        <f>+D17/$E$5</f>
        <v>13.765355400603406</v>
      </c>
      <c r="F17" s="149">
        <f>+E17/$E$51</f>
        <v>0.03835839979854749</v>
      </c>
    </row>
    <row r="18" spans="1:6" ht="15">
      <c r="A18" s="112" t="s">
        <v>486</v>
      </c>
      <c r="B18" s="112"/>
      <c r="C18" s="182">
        <f>+'Bilancio compilato'!D16</f>
        <v>9452.530643298713</v>
      </c>
      <c r="D18" s="182"/>
      <c r="E18" s="160"/>
      <c r="F18" s="112"/>
    </row>
    <row r="19" spans="1:6" ht="15">
      <c r="A19" s="112" t="s">
        <v>585</v>
      </c>
      <c r="B19" s="112"/>
      <c r="C19" s="182">
        <f>+'Bilancio compilato'!D22</f>
        <v>4355.590904161094</v>
      </c>
      <c r="D19" s="182"/>
      <c r="E19" s="160"/>
      <c r="F19" s="112"/>
    </row>
    <row r="20" spans="1:6" ht="15">
      <c r="A20" s="112" t="s">
        <v>495</v>
      </c>
      <c r="B20" s="112"/>
      <c r="C20" s="182">
        <f>+'Bilancio compilato'!D23</f>
        <v>1330.3929720545173</v>
      </c>
      <c r="D20" s="182"/>
      <c r="E20" s="160"/>
      <c r="F20" s="112"/>
    </row>
    <row r="21" spans="1:6" ht="15">
      <c r="A21" s="112" t="s">
        <v>420</v>
      </c>
      <c r="B21" s="112"/>
      <c r="C21" s="182">
        <f>+'spese mecc'!J13</f>
        <v>104.11771085644048</v>
      </c>
      <c r="D21" s="182"/>
      <c r="E21" s="160"/>
      <c r="F21" s="112"/>
    </row>
    <row r="22" spans="1:6" ht="15.75">
      <c r="A22" s="107" t="s">
        <v>855</v>
      </c>
      <c r="B22" s="107"/>
      <c r="C22" s="178"/>
      <c r="D22" s="178">
        <f>SUM(C18:C21)</f>
        <v>15242.632230370764</v>
      </c>
      <c r="E22" s="159">
        <f>+D22/$E$5</f>
        <v>15.118347428421588</v>
      </c>
      <c r="F22" s="149">
        <f>+E22/$E$51</f>
        <v>0.042128633665885366</v>
      </c>
    </row>
    <row r="23" spans="1:6" ht="15.75">
      <c r="A23" s="107" t="s">
        <v>856</v>
      </c>
      <c r="B23" s="107"/>
      <c r="C23" s="178"/>
      <c r="D23" s="178">
        <f>+'magazzini prodotti'!G12-'magazzini prodotti'!H15+'magazzini prodotti'!G23-'magazzini prodotti'!H26+'magazzini prodotti'!G32-'magazzini prodotti'!H35+'magazzini prodotti'!G41-'magazzini prodotti'!H44</f>
        <v>9960.501644915224</v>
      </c>
      <c r="E23" s="159">
        <f>+D23/$E$5</f>
        <v>9.87928608086152</v>
      </c>
      <c r="F23" s="149">
        <f>+E23/$E$51</f>
        <v>0.027529518431271313</v>
      </c>
    </row>
    <row r="24" spans="1:6" ht="15.75">
      <c r="A24" s="107" t="s">
        <v>857</v>
      </c>
      <c r="B24" s="107"/>
      <c r="C24" s="178"/>
      <c r="D24" s="178">
        <f>+D22+D17+D23</f>
        <v>39081.6514106944</v>
      </c>
      <c r="E24" s="159">
        <f>+D24/$E$5</f>
        <v>38.762988909886516</v>
      </c>
      <c r="F24" s="149">
        <f>+E24/$E$51</f>
        <v>0.10801655189570418</v>
      </c>
    </row>
    <row r="25" spans="1:6" ht="15.75">
      <c r="A25" s="107" t="s">
        <v>858</v>
      </c>
      <c r="B25" s="107"/>
      <c r="C25" s="178"/>
      <c r="D25" s="178">
        <f>+'Bilancio compilato'!D15</f>
        <v>29468.416078336173</v>
      </c>
      <c r="E25" s="159">
        <f>+D25/$E$5</f>
        <v>29.22813761457094</v>
      </c>
      <c r="F25" s="149">
        <f>+E25/$E$51</f>
        <v>0.08144683194576514</v>
      </c>
    </row>
    <row r="26" spans="1:6" ht="15">
      <c r="A26" s="112" t="s">
        <v>490</v>
      </c>
      <c r="B26" s="112"/>
      <c r="C26" s="182">
        <f>+'Bilancio compilato'!D17</f>
        <v>6960.847402480027</v>
      </c>
      <c r="D26" s="182"/>
      <c r="E26" s="160"/>
      <c r="F26" s="112"/>
    </row>
    <row r="27" spans="1:6" ht="15">
      <c r="A27" s="112" t="s">
        <v>859</v>
      </c>
      <c r="B27" s="112"/>
      <c r="C27" s="182">
        <f>+'Bilancio compilato'!D21</f>
        <v>3789.3062434474537</v>
      </c>
      <c r="D27" s="182"/>
      <c r="E27" s="160"/>
      <c r="F27" s="112"/>
    </row>
    <row r="28" spans="1:6" ht="15">
      <c r="A28" s="112" t="s">
        <v>860</v>
      </c>
      <c r="B28" s="112"/>
      <c r="C28" s="182">
        <v>0</v>
      </c>
      <c r="D28" s="182"/>
      <c r="E28" s="160"/>
      <c r="F28" s="112"/>
    </row>
    <row r="29" spans="1:6" ht="15">
      <c r="A29" s="112" t="s">
        <v>937</v>
      </c>
      <c r="B29" s="112"/>
      <c r="C29" s="182">
        <f>+'Bilancio compilato'!D25</f>
        <v>5963.63110516612</v>
      </c>
      <c r="D29" s="182"/>
      <c r="E29" s="160"/>
      <c r="F29" s="112"/>
    </row>
    <row r="30" spans="1:6" ht="15">
      <c r="A30" s="112" t="s">
        <v>936</v>
      </c>
      <c r="B30" s="112"/>
      <c r="C30" s="182">
        <f>+'Bilancio compilato'!D26+'Bilancio compilato'!D27</f>
        <v>8260.371399889635</v>
      </c>
      <c r="D30" s="182"/>
      <c r="E30" s="160"/>
      <c r="F30" s="112"/>
    </row>
    <row r="31" spans="1:6" ht="15.75">
      <c r="A31" s="107" t="s">
        <v>861</v>
      </c>
      <c r="B31" s="107"/>
      <c r="C31" s="178"/>
      <c r="D31" s="178">
        <f>SUM(C26:C30)</f>
        <v>24974.156150983235</v>
      </c>
      <c r="E31" s="159">
        <f aca="true" t="shared" si="0" ref="E31:E36">+D31/$E$5</f>
        <v>24.770522814945103</v>
      </c>
      <c r="F31" s="149">
        <f aca="true" t="shared" si="1" ref="F31:F36">+E31/$E$51</f>
        <v>0.06902528773888802</v>
      </c>
    </row>
    <row r="32" spans="1:6" ht="15.75">
      <c r="A32" s="107" t="s">
        <v>862</v>
      </c>
      <c r="B32" s="107"/>
      <c r="C32" s="178"/>
      <c r="D32" s="178">
        <f>+'spese varie'!I27</f>
        <v>7207.259318173602</v>
      </c>
      <c r="E32" s="159">
        <f t="shared" si="0"/>
        <v>7.148493037952606</v>
      </c>
      <c r="F32" s="149">
        <f t="shared" si="1"/>
        <v>0.019919918224189082</v>
      </c>
    </row>
    <row r="33" spans="1:6" ht="15.75">
      <c r="A33" s="107" t="s">
        <v>863</v>
      </c>
      <c r="B33" s="107"/>
      <c r="C33" s="178"/>
      <c r="D33" s="178">
        <f>+D32+D31</f>
        <v>32181.415469156836</v>
      </c>
      <c r="E33" s="159">
        <f t="shared" si="0"/>
        <v>31.919015852897708</v>
      </c>
      <c r="F33" s="149">
        <f t="shared" si="1"/>
        <v>0.0889452059630771</v>
      </c>
    </row>
    <row r="34" spans="1:6" ht="15.75">
      <c r="A34" s="107" t="s">
        <v>864</v>
      </c>
      <c r="B34" s="107"/>
      <c r="C34" s="178"/>
      <c r="D34" s="178">
        <f>+'Bilancio compilato'!D19</f>
        <v>3330</v>
      </c>
      <c r="E34" s="159">
        <f t="shared" si="0"/>
        <v>3.3028479711223286</v>
      </c>
      <c r="F34" s="149">
        <f t="shared" si="1"/>
        <v>0.009203682670232994</v>
      </c>
    </row>
    <row r="35" spans="1:6" ht="15.75">
      <c r="A35" s="107" t="s">
        <v>865</v>
      </c>
      <c r="B35" s="107"/>
      <c r="C35" s="178"/>
      <c r="D35" s="178">
        <f>+'Bilancio compilato'!D20</f>
        <v>27651.5</v>
      </c>
      <c r="E35" s="159">
        <f t="shared" si="0"/>
        <v>27.426036238285004</v>
      </c>
      <c r="F35" s="149">
        <f t="shared" si="1"/>
        <v>0.07642511452130558</v>
      </c>
    </row>
    <row r="36" spans="1:6" ht="15.75">
      <c r="A36" s="107" t="s">
        <v>866</v>
      </c>
      <c r="B36" s="107"/>
      <c r="C36" s="178"/>
      <c r="D36" s="178">
        <f>+D35+D34</f>
        <v>30981.5</v>
      </c>
      <c r="E36" s="159">
        <f t="shared" si="0"/>
        <v>30.728884209407333</v>
      </c>
      <c r="F36" s="149">
        <f t="shared" si="1"/>
        <v>0.08562879719153858</v>
      </c>
    </row>
    <row r="37" spans="1:6" ht="15">
      <c r="A37" s="112" t="s">
        <v>867</v>
      </c>
      <c r="B37" s="112"/>
      <c r="C37" s="182"/>
      <c r="D37" s="182"/>
      <c r="E37" s="160"/>
      <c r="F37" s="112"/>
    </row>
    <row r="38" spans="1:6" ht="15">
      <c r="A38" s="112" t="s">
        <v>909</v>
      </c>
      <c r="B38" s="112"/>
      <c r="C38" s="182">
        <f>+manodopera!L2</f>
        <v>19148.155990641804</v>
      </c>
      <c r="D38" s="182"/>
      <c r="E38" s="160"/>
      <c r="F38" s="112"/>
    </row>
    <row r="39" spans="1:6" ht="15">
      <c r="A39" s="112" t="s">
        <v>868</v>
      </c>
      <c r="B39" s="112"/>
      <c r="C39" s="182"/>
      <c r="D39" s="182"/>
      <c r="E39" s="160"/>
      <c r="F39" s="112"/>
    </row>
    <row r="40" spans="1:6" ht="15">
      <c r="A40" s="112" t="s">
        <v>910</v>
      </c>
      <c r="B40" s="112"/>
      <c r="C40" s="182">
        <f>+manodopera!L3</f>
        <v>15678.744770747317</v>
      </c>
      <c r="D40" s="182"/>
      <c r="E40" s="160"/>
      <c r="F40" s="112"/>
    </row>
    <row r="41" spans="1:6" ht="15.75">
      <c r="A41" s="107" t="s">
        <v>869</v>
      </c>
      <c r="B41" s="107"/>
      <c r="C41" s="178"/>
      <c r="D41" s="178">
        <f>+C38+C40</f>
        <v>34826.90076138912</v>
      </c>
      <c r="E41" s="159">
        <f aca="true" t="shared" si="2" ref="E41:E50">+D41/$E$5</f>
        <v>34.54293048655638</v>
      </c>
      <c r="F41" s="149">
        <f>+E41/$E$51</f>
        <v>0.09625697987853493</v>
      </c>
    </row>
    <row r="42" spans="1:6" ht="15.75">
      <c r="A42" s="107" t="s">
        <v>870</v>
      </c>
      <c r="B42" s="107"/>
      <c r="C42" s="178"/>
      <c r="D42" s="178">
        <f>+manodopera!J3</f>
        <v>2731.850413423748</v>
      </c>
      <c r="E42" s="159">
        <f t="shared" si="2"/>
        <v>2.709575554170066</v>
      </c>
      <c r="F42" s="149">
        <f>+E42/$E$51</f>
        <v>0.007550475768077173</v>
      </c>
    </row>
    <row r="43" spans="1:6" ht="15.75">
      <c r="A43" s="107" t="s">
        <v>871</v>
      </c>
      <c r="B43" s="107"/>
      <c r="C43" s="178"/>
      <c r="D43" s="178">
        <f>+manodopera!I4+manodopera!I5</f>
        <v>36364.0401390302</v>
      </c>
      <c r="E43" s="159">
        <f t="shared" si="2"/>
        <v>36.06753639489694</v>
      </c>
      <c r="F43" s="149">
        <f>+E43/$E$51</f>
        <v>0.10050543124542019</v>
      </c>
    </row>
    <row r="44" spans="1:6" ht="15.75">
      <c r="A44" s="107" t="s">
        <v>872</v>
      </c>
      <c r="B44" s="107"/>
      <c r="C44" s="178"/>
      <c r="D44" s="178">
        <f>+manodopera!J4+manodopera!J5</f>
        <v>13037.954417514087</v>
      </c>
      <c r="E44" s="159">
        <f t="shared" si="2"/>
        <v>12.931646034676216</v>
      </c>
      <c r="F44" s="149">
        <f>+E44/$E$51</f>
        <v>0.03603519373206069</v>
      </c>
    </row>
    <row r="45" spans="1:9" ht="15.75">
      <c r="A45" s="107" t="s">
        <v>873</v>
      </c>
      <c r="B45" s="107"/>
      <c r="C45" s="178"/>
      <c r="D45" s="178">
        <f>SUM(D41:D44)</f>
        <v>86960.74573135716</v>
      </c>
      <c r="E45" s="159">
        <f t="shared" si="2"/>
        <v>86.25168847029961</v>
      </c>
      <c r="F45" s="149">
        <f aca="true" t="shared" si="3" ref="F45:F51">+E45/$E$51</f>
        <v>0.24034808062409302</v>
      </c>
      <c r="I45" s="145"/>
    </row>
    <row r="46" spans="1:6" ht="15.75">
      <c r="A46" s="107" t="s">
        <v>814</v>
      </c>
      <c r="B46" s="107"/>
      <c r="C46" s="178"/>
      <c r="D46" s="178">
        <f>+'Bilancio compilato'!D38</f>
        <v>3512.5823748470552</v>
      </c>
      <c r="E46" s="159">
        <f t="shared" si="2"/>
        <v>3.4839416126617557</v>
      </c>
      <c r="F46" s="149">
        <f t="shared" si="3"/>
        <v>0.009708316375719428</v>
      </c>
    </row>
    <row r="47" spans="1:6" ht="15.75">
      <c r="A47" s="107" t="s">
        <v>815</v>
      </c>
      <c r="B47" s="107"/>
      <c r="C47" s="178"/>
      <c r="D47" s="178">
        <v>0</v>
      </c>
      <c r="E47" s="159">
        <f t="shared" si="2"/>
        <v>0</v>
      </c>
      <c r="F47" s="149">
        <f t="shared" si="3"/>
        <v>0</v>
      </c>
    </row>
    <row r="48" spans="1:6" ht="15.75">
      <c r="A48" s="107" t="s">
        <v>874</v>
      </c>
      <c r="B48" s="107"/>
      <c r="C48" s="178"/>
      <c r="D48" s="178">
        <f>+'Bilancio compilato'!D42</f>
        <v>3800.9</v>
      </c>
      <c r="E48" s="159">
        <f t="shared" si="2"/>
        <v>3.769908364396054</v>
      </c>
      <c r="F48" s="149">
        <f t="shared" si="3"/>
        <v>0.010505188426813389</v>
      </c>
    </row>
    <row r="49" spans="1:6" ht="15.75">
      <c r="A49" s="107" t="s">
        <v>816</v>
      </c>
      <c r="B49" s="107"/>
      <c r="C49" s="178"/>
      <c r="D49" s="178">
        <f>+'Bilancio compilato'!D40</f>
        <v>22617.63335522211</v>
      </c>
      <c r="E49" s="159">
        <f t="shared" si="2"/>
        <v>22.433214546211428</v>
      </c>
      <c r="F49" s="149">
        <f t="shared" si="3"/>
        <v>0.0625121682141566</v>
      </c>
    </row>
    <row r="50" spans="1:6" ht="15.75">
      <c r="A50" s="107" t="s">
        <v>875</v>
      </c>
      <c r="B50" s="107"/>
      <c r="C50" s="178"/>
      <c r="D50" s="178">
        <f>SUM(D46:D49)</f>
        <v>29931.115730069167</v>
      </c>
      <c r="E50" s="159">
        <f t="shared" si="2"/>
        <v>29.687064523269235</v>
      </c>
      <c r="F50" s="149">
        <f t="shared" si="3"/>
        <v>0.08272567301668941</v>
      </c>
    </row>
    <row r="51" spans="1:6" ht="15.75">
      <c r="A51" s="117" t="s">
        <v>837</v>
      </c>
      <c r="B51" s="117"/>
      <c r="C51" s="171"/>
      <c r="D51" s="183">
        <f>+D50+D45+D36+D33+D25+D24+D11</f>
        <v>361811.6920491024</v>
      </c>
      <c r="E51" s="184">
        <f>+D51/$E$5</f>
        <v>358.8615654692836</v>
      </c>
      <c r="F51" s="185">
        <f t="shared" si="3"/>
        <v>1</v>
      </c>
    </row>
    <row r="52" spans="1:7" ht="15.75">
      <c r="A52"/>
      <c r="B52" s="21" t="s">
        <v>940</v>
      </c>
      <c r="C52"/>
      <c r="D52" s="189">
        <f>+D33+D36+D45+D46+D48-C30</f>
        <v>149176.77217547141</v>
      </c>
      <c r="E52" s="159">
        <f>+D52/$E$5</f>
        <v>147.9604202157158</v>
      </c>
      <c r="F52"/>
      <c r="G52" s="115"/>
    </row>
    <row r="53" spans="1:6" ht="15.75">
      <c r="A53" s="92"/>
      <c r="B53" s="27" t="s">
        <v>941</v>
      </c>
      <c r="C53" s="92"/>
      <c r="D53" s="199">
        <f>+D51-D52</f>
        <v>212634.91987363098</v>
      </c>
      <c r="E53" s="180">
        <f>+D53/$E$5</f>
        <v>210.90114525356785</v>
      </c>
      <c r="F53" s="92"/>
    </row>
    <row r="54" spans="1:8" ht="15">
      <c r="A54"/>
      <c r="B54"/>
      <c r="C54"/>
      <c r="D54"/>
      <c r="E54"/>
      <c r="F54"/>
      <c r="H54" s="115"/>
    </row>
    <row r="55" spans="1:6" ht="15">
      <c r="A55"/>
      <c r="B55"/>
      <c r="C55"/>
      <c r="D55"/>
      <c r="E55"/>
      <c r="F55"/>
    </row>
    <row r="56" spans="1:6" ht="15">
      <c r="A56"/>
      <c r="B56"/>
      <c r="C56"/>
      <c r="D56"/>
      <c r="E56"/>
      <c r="F56"/>
    </row>
    <row r="57" spans="1:6" ht="15">
      <c r="A57"/>
      <c r="B57"/>
      <c r="C57"/>
      <c r="D57"/>
      <c r="E57"/>
      <c r="F57"/>
    </row>
    <row r="58" spans="1:6" ht="15">
      <c r="A58"/>
      <c r="B58"/>
      <c r="C58"/>
      <c r="D58"/>
      <c r="E58"/>
      <c r="F58"/>
    </row>
    <row r="59" spans="1:6" ht="15">
      <c r="A59"/>
      <c r="B59"/>
      <c r="C59"/>
      <c r="D59"/>
      <c r="E59"/>
      <c r="F59"/>
    </row>
    <row r="60" spans="1:6" ht="15">
      <c r="A60"/>
      <c r="B60"/>
      <c r="C60"/>
      <c r="D60"/>
      <c r="E60"/>
      <c r="F60"/>
    </row>
    <row r="61" spans="1:6" ht="15">
      <c r="A61"/>
      <c r="B61"/>
      <c r="C61"/>
      <c r="D61"/>
      <c r="E61"/>
      <c r="F61"/>
    </row>
    <row r="62" spans="1:6" ht="15">
      <c r="A62"/>
      <c r="B62"/>
      <c r="C62"/>
      <c r="D62"/>
      <c r="E62"/>
      <c r="F62"/>
    </row>
  </sheetData>
  <printOptions horizontalCentered="1" verticalCentered="1"/>
  <pageMargins left="0.7874015748031497" right="0.7874015748031497" top="0.94" bottom="0.86" header="0.5118110236220472" footer="0.5118110236220472"/>
  <pageSetup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6"/>
  <dimension ref="A1:L6"/>
  <sheetViews>
    <sheetView workbookViewId="0" topLeftCell="A1">
      <selection activeCell="A1" sqref="A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7.8515625" style="1" bestFit="1" customWidth="1"/>
    <col min="4" max="4" width="7.421875" style="0" bestFit="1" customWidth="1"/>
    <col min="5" max="5" width="7.7109375" style="0" bestFit="1" customWidth="1"/>
    <col min="6" max="6" width="7.7109375" style="1" bestFit="1" customWidth="1"/>
    <col min="7" max="7" width="5.7109375" style="1" customWidth="1"/>
    <col min="8" max="8" width="4.8515625" style="1" customWidth="1"/>
    <col min="9" max="9" width="6.7109375" style="1" customWidth="1"/>
    <col min="10" max="10" width="5.7109375" style="1" customWidth="1"/>
  </cols>
  <sheetData>
    <row r="1" spans="1:12" s="50" customFormat="1" ht="12.75">
      <c r="A1" s="44" t="s">
        <v>0</v>
      </c>
      <c r="B1" s="44" t="s">
        <v>1</v>
      </c>
      <c r="C1" s="44" t="s">
        <v>231</v>
      </c>
      <c r="D1" s="44" t="s">
        <v>243</v>
      </c>
      <c r="E1" s="44" t="s">
        <v>242</v>
      </c>
      <c r="F1" s="44" t="s">
        <v>232</v>
      </c>
      <c r="G1" s="44" t="s">
        <v>233</v>
      </c>
      <c r="H1" s="44" t="s">
        <v>234</v>
      </c>
      <c r="I1" s="44" t="s">
        <v>235</v>
      </c>
      <c r="J1" s="44" t="s">
        <v>236</v>
      </c>
      <c r="K1" s="50" t="s">
        <v>458</v>
      </c>
      <c r="L1" s="50" t="s">
        <v>459</v>
      </c>
    </row>
    <row r="2" spans="1:12" s="50" customFormat="1" ht="12.75">
      <c r="A2" s="44" t="s">
        <v>79</v>
      </c>
      <c r="B2" s="45" t="s">
        <v>549</v>
      </c>
      <c r="C2" s="44" t="s">
        <v>237</v>
      </c>
      <c r="D2" s="44">
        <v>24</v>
      </c>
      <c r="E2" s="44" t="s">
        <v>188</v>
      </c>
      <c r="F2" s="44" t="s">
        <v>238</v>
      </c>
      <c r="G2" s="44">
        <v>2480</v>
      </c>
      <c r="H2" s="44">
        <v>325</v>
      </c>
      <c r="I2" s="44">
        <v>0</v>
      </c>
      <c r="J2" s="44"/>
      <c r="K2" s="54">
        <f>+K4</f>
        <v>7.721030641387824</v>
      </c>
      <c r="L2" s="44">
        <f>+K2*G2</f>
        <v>19148.155990641804</v>
      </c>
    </row>
    <row r="3" spans="1:12" s="50" customFormat="1" ht="12.75">
      <c r="A3" s="44" t="s">
        <v>79</v>
      </c>
      <c r="B3" s="45" t="s">
        <v>549</v>
      </c>
      <c r="C3" s="44" t="s">
        <v>239</v>
      </c>
      <c r="D3" s="44">
        <v>55</v>
      </c>
      <c r="E3" s="44" t="s">
        <v>188</v>
      </c>
      <c r="F3" s="44" t="s">
        <v>238</v>
      </c>
      <c r="G3" s="44">
        <v>2420</v>
      </c>
      <c r="H3" s="44">
        <v>315</v>
      </c>
      <c r="I3" s="44">
        <v>0</v>
      </c>
      <c r="J3" s="44">
        <v>2731.850413423748</v>
      </c>
      <c r="K3" s="54">
        <f>+K5</f>
        <v>6.4788201532013705</v>
      </c>
      <c r="L3" s="44">
        <f>+K3*G3</f>
        <v>15678.744770747317</v>
      </c>
    </row>
    <row r="4" spans="1:12" s="50" customFormat="1" ht="12.75">
      <c r="A4" s="44" t="s">
        <v>79</v>
      </c>
      <c r="B4" s="45" t="s">
        <v>549</v>
      </c>
      <c r="C4" s="44" t="s">
        <v>240</v>
      </c>
      <c r="D4" s="44">
        <v>51</v>
      </c>
      <c r="E4" s="44" t="s">
        <v>188</v>
      </c>
      <c r="F4" s="44" t="s">
        <v>238</v>
      </c>
      <c r="G4" s="44">
        <v>2570</v>
      </c>
      <c r="H4" s="44">
        <v>320</v>
      </c>
      <c r="I4" s="44">
        <f>+K4*G4</f>
        <v>19843.048748366706</v>
      </c>
      <c r="J4" s="44">
        <v>6646.800291281691</v>
      </c>
      <c r="K4" s="54">
        <v>7.721030641387824</v>
      </c>
      <c r="L4" s="44">
        <v>0</v>
      </c>
    </row>
    <row r="5" spans="1:12" s="50" customFormat="1" ht="12.75">
      <c r="A5" s="44" t="s">
        <v>79</v>
      </c>
      <c r="B5" s="45" t="s">
        <v>549</v>
      </c>
      <c r="C5" s="44" t="s">
        <v>241</v>
      </c>
      <c r="D5" s="44">
        <v>58</v>
      </c>
      <c r="E5" s="44" t="s">
        <v>188</v>
      </c>
      <c r="F5" s="44" t="s">
        <v>238</v>
      </c>
      <c r="G5" s="44">
        <v>2550</v>
      </c>
      <c r="H5" s="44">
        <v>317</v>
      </c>
      <c r="I5" s="44">
        <f>+K5*G5</f>
        <v>16520.991390663494</v>
      </c>
      <c r="J5" s="44">
        <v>6391.154126232395</v>
      </c>
      <c r="K5" s="54">
        <v>6.4788201532013705</v>
      </c>
      <c r="L5" s="44">
        <v>0</v>
      </c>
    </row>
    <row r="6" spans="1:12" s="50" customFormat="1" ht="12.75">
      <c r="A6" s="44"/>
      <c r="B6" s="44"/>
      <c r="C6" s="44"/>
      <c r="F6" s="44"/>
      <c r="G6" s="44">
        <f>SUM(G2:G5)</f>
        <v>10020</v>
      </c>
      <c r="H6" s="44">
        <f>SUM(H2:H5)</f>
        <v>1277</v>
      </c>
      <c r="I6" s="44">
        <f>SUM(I2:I5)</f>
        <v>36364.0401390302</v>
      </c>
      <c r="J6" s="44">
        <f>SUM(J2:J5)</f>
        <v>15769.804830937834</v>
      </c>
      <c r="K6" s="44"/>
      <c r="L6" s="44">
        <f>SUM(L2:L5)</f>
        <v>34826.90076138912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32">
    <pageSetUpPr fitToPage="1"/>
  </sheetPr>
  <dimension ref="A1:H195"/>
  <sheetViews>
    <sheetView workbookViewId="0" topLeftCell="A157">
      <selection activeCell="D85" sqref="D85"/>
    </sheetView>
  </sheetViews>
  <sheetFormatPr defaultColWidth="9.140625" defaultRowHeight="12.75"/>
  <cols>
    <col min="1" max="1" width="3.140625" style="15" customWidth="1"/>
    <col min="2" max="2" width="4.140625" style="15" customWidth="1"/>
    <col min="3" max="3" width="51.57421875" style="15" customWidth="1"/>
    <col min="4" max="4" width="14.140625" style="15" bestFit="1" customWidth="1"/>
    <col min="5" max="6" width="13.57421875" style="15" bestFit="1" customWidth="1"/>
    <col min="7" max="7" width="42.57421875" style="15" customWidth="1"/>
    <col min="8" max="8" width="13.00390625" style="15" customWidth="1"/>
    <col min="9" max="16384" width="9.140625" style="15" customWidth="1"/>
  </cols>
  <sheetData>
    <row r="1" ht="15.75">
      <c r="C1" s="93" t="s">
        <v>924</v>
      </c>
    </row>
    <row r="2" ht="15.75">
      <c r="C2" s="93"/>
    </row>
    <row r="3" spans="1:7" ht="15.75">
      <c r="A3" s="21" t="s">
        <v>615</v>
      </c>
      <c r="B3" s="21"/>
      <c r="C3" s="93"/>
      <c r="D3" s="186">
        <f>+D4+D13+D24+D26+D29</f>
        <v>369261.3279762797</v>
      </c>
      <c r="G3" s="94"/>
    </row>
    <row r="4" spans="2:5" ht="15.75">
      <c r="B4" s="95" t="s">
        <v>616</v>
      </c>
      <c r="C4" s="95"/>
      <c r="D4" s="186">
        <f>+D5+D7+D10</f>
        <v>376110.8850173178</v>
      </c>
      <c r="E4" s="94"/>
    </row>
    <row r="5" spans="2:5" ht="15.75">
      <c r="B5" s="21"/>
      <c r="C5" s="21" t="s">
        <v>617</v>
      </c>
      <c r="D5" s="186">
        <f>+D6</f>
        <v>1373.7753515780341</v>
      </c>
      <c r="E5" s="94"/>
    </row>
    <row r="6" spans="2:7" ht="15.75">
      <c r="B6" s="93"/>
      <c r="C6" s="96" t="s">
        <v>618</v>
      </c>
      <c r="D6" s="187">
        <f>+'magazzini prodotti'!H5</f>
        <v>1373.7753515780341</v>
      </c>
      <c r="E6" s="97"/>
      <c r="F6" s="96"/>
      <c r="G6" s="96"/>
    </row>
    <row r="7" spans="2:5" ht="15.75">
      <c r="B7" s="93"/>
      <c r="C7" s="21" t="s">
        <v>619</v>
      </c>
      <c r="D7" s="186">
        <f>+D8+D9</f>
        <v>369282.75416573975</v>
      </c>
      <c r="E7" s="97"/>
    </row>
    <row r="8" spans="2:5" ht="15.75">
      <c r="B8" s="93"/>
      <c r="C8" s="96" t="s">
        <v>620</v>
      </c>
      <c r="D8" s="187">
        <f>+'magazzini prodotti'!H64</f>
        <v>345032.75416573975</v>
      </c>
      <c r="E8" s="97"/>
    </row>
    <row r="9" spans="2:5" ht="15.75">
      <c r="B9" s="93"/>
      <c r="C9" s="96" t="s">
        <v>621</v>
      </c>
      <c r="D9" s="187">
        <f>+'allevamenti consistenza'!J14</f>
        <v>24250</v>
      </c>
      <c r="E9" s="96"/>
    </row>
    <row r="10" spans="3:4" ht="15.75">
      <c r="C10" s="21" t="s">
        <v>622</v>
      </c>
      <c r="D10" s="186">
        <f>+D11</f>
        <v>5454.3555</v>
      </c>
    </row>
    <row r="11" spans="3:4" ht="15">
      <c r="C11" s="96" t="s">
        <v>429</v>
      </c>
      <c r="D11" s="187">
        <f>+'magazzini prodotti'!H18</f>
        <v>5454.3555</v>
      </c>
    </row>
    <row r="12" spans="3:6" ht="15.75">
      <c r="C12" s="21"/>
      <c r="D12" s="186"/>
      <c r="E12" s="22" t="s">
        <v>623</v>
      </c>
      <c r="F12" s="22" t="s">
        <v>624</v>
      </c>
    </row>
    <row r="13" spans="2:6" ht="15">
      <c r="B13" s="95" t="s">
        <v>625</v>
      </c>
      <c r="C13" s="98"/>
      <c r="D13" s="188">
        <f>+D14+D20</f>
        <v>-7761.76975318525</v>
      </c>
      <c r="E13" s="192">
        <f>+E14+E20</f>
        <v>144124.03397253482</v>
      </c>
      <c r="F13" s="192">
        <f>+F14+F20</f>
        <v>151885.80372572006</v>
      </c>
    </row>
    <row r="14" spans="2:7" ht="15.75">
      <c r="B14" s="21"/>
      <c r="C14" s="21" t="s">
        <v>626</v>
      </c>
      <c r="D14" s="189">
        <f aca="true" t="shared" si="0" ref="D14:D19">+E14-F14</f>
        <v>-10941.76975318525</v>
      </c>
      <c r="E14" s="193">
        <f>SUM(E15:E19)</f>
        <v>20194.03397253482</v>
      </c>
      <c r="F14" s="193">
        <f>SUM(F15:F19)</f>
        <v>31135.80372572007</v>
      </c>
      <c r="G14" s="194"/>
    </row>
    <row r="15" spans="2:7" ht="15.75">
      <c r="B15" s="21"/>
      <c r="C15" s="99" t="s">
        <v>627</v>
      </c>
      <c r="D15" s="190">
        <f t="shared" si="0"/>
        <v>-760</v>
      </c>
      <c r="E15" s="194">
        <f>+'magazzini prodotti'!H35</f>
        <v>2990</v>
      </c>
      <c r="F15" s="194">
        <f>+'magazzini prodotti'!G32</f>
        <v>3750</v>
      </c>
      <c r="G15" s="194"/>
    </row>
    <row r="16" spans="2:6" ht="15.75">
      <c r="B16" s="21"/>
      <c r="C16" s="99" t="s">
        <v>628</v>
      </c>
      <c r="D16" s="190">
        <f t="shared" si="0"/>
        <v>-2516</v>
      </c>
      <c r="E16" s="194">
        <f>+'magazzini prodotti'!H44</f>
        <v>2618</v>
      </c>
      <c r="F16" s="194">
        <f>+'magazzini prodotti'!G41</f>
        <v>5134</v>
      </c>
    </row>
    <row r="17" spans="2:6" ht="15.75">
      <c r="B17" s="21"/>
      <c r="C17" s="101" t="s">
        <v>629</v>
      </c>
      <c r="D17" s="190">
        <f t="shared" si="0"/>
        <v>-6322.981815552583</v>
      </c>
      <c r="E17" s="194">
        <f>+'magazzini prodotti'!H15</f>
        <v>13480.81620848332</v>
      </c>
      <c r="F17" s="194">
        <f>+'magazzini prodotti'!G12</f>
        <v>19803.798024035903</v>
      </c>
    </row>
    <row r="18" spans="2:6" ht="15.75">
      <c r="B18" s="21"/>
      <c r="C18" s="99" t="s">
        <v>511</v>
      </c>
      <c r="D18" s="190">
        <f t="shared" si="0"/>
        <v>-361.5198293626406</v>
      </c>
      <c r="E18" s="194">
        <f>+'magazzini prodotti'!H26</f>
        <v>1105.217764051501</v>
      </c>
      <c r="F18" s="194">
        <f>+'magazzini prodotti'!G23</f>
        <v>1466.7375934141417</v>
      </c>
    </row>
    <row r="19" spans="2:6" ht="15.75">
      <c r="B19" s="21"/>
      <c r="C19" s="99" t="s">
        <v>630</v>
      </c>
      <c r="D19" s="190">
        <f t="shared" si="0"/>
        <v>-981.2681082700243</v>
      </c>
      <c r="E19" s="194">
        <v>0</v>
      </c>
      <c r="F19" s="194">
        <f>+'magazzini prodotti'!G4</f>
        <v>981.2681082700243</v>
      </c>
    </row>
    <row r="20" spans="2:6" ht="15.75">
      <c r="B20" s="21"/>
      <c r="C20" s="102" t="s">
        <v>631</v>
      </c>
      <c r="D20" s="189">
        <f>SUM(D21:D22)</f>
        <v>3180</v>
      </c>
      <c r="E20" s="193">
        <f>SUM(E21:E22)</f>
        <v>123930</v>
      </c>
      <c r="F20" s="193">
        <f>SUM(F21:F22)</f>
        <v>120750</v>
      </c>
    </row>
    <row r="21" spans="2:6" ht="15.75">
      <c r="B21" s="21"/>
      <c r="C21" s="99" t="s">
        <v>632</v>
      </c>
      <c r="D21" s="190">
        <f>+E21-F21</f>
        <v>3420</v>
      </c>
      <c r="E21" s="194">
        <f>+'allevamenti consistenza'!J7</f>
        <v>123570</v>
      </c>
      <c r="F21" s="194">
        <f>+'allevamenti consistenza'!G7</f>
        <v>120150</v>
      </c>
    </row>
    <row r="22" spans="2:6" ht="15.75">
      <c r="B22" s="21"/>
      <c r="C22" s="99" t="s">
        <v>418</v>
      </c>
      <c r="D22" s="190">
        <f>+E22-F22</f>
        <v>-240</v>
      </c>
      <c r="E22" s="194">
        <f>+'magazzini prodotti'!H75</f>
        <v>360</v>
      </c>
      <c r="F22" s="194">
        <f>+'magazzini prodotti'!G70</f>
        <v>600</v>
      </c>
    </row>
    <row r="23" spans="2:6" ht="15.75">
      <c r="B23" s="21"/>
      <c r="C23" s="99" t="s">
        <v>633</v>
      </c>
      <c r="D23" s="190">
        <f>+E23-F23</f>
        <v>0.005164568990895013</v>
      </c>
      <c r="E23" s="194">
        <f>+'magazzini prodotti'!H63</f>
        <v>3.6978313974807238</v>
      </c>
      <c r="F23" s="194">
        <f>+'magazzini prodotti'!G50</f>
        <v>3.6926668284898287</v>
      </c>
    </row>
    <row r="24" spans="2:6" ht="15">
      <c r="B24" s="95" t="s">
        <v>634</v>
      </c>
      <c r="C24" s="98"/>
      <c r="D24" s="188">
        <f>+D25</f>
        <v>912.2127121472059</v>
      </c>
      <c r="E24" s="194"/>
      <c r="F24" s="194"/>
    </row>
    <row r="25" spans="2:6" ht="15.75">
      <c r="B25" s="102"/>
      <c r="C25" s="21" t="s">
        <v>635</v>
      </c>
      <c r="D25" s="189">
        <f>+E25-F25</f>
        <v>912.2127121472059</v>
      </c>
      <c r="E25" s="193">
        <f>+'spese colture'!G14+'spese colture'!H15+'spese colture'!J16</f>
        <v>1199.7373063110563</v>
      </c>
      <c r="F25" s="193">
        <f>+'spese colture'!G12</f>
        <v>287.52459416385034</v>
      </c>
    </row>
    <row r="26" spans="2:6" ht="15">
      <c r="B26" s="95" t="s">
        <v>636</v>
      </c>
      <c r="C26" s="98"/>
      <c r="D26" s="188">
        <v>0</v>
      </c>
      <c r="E26" s="194"/>
      <c r="F26" s="194"/>
    </row>
    <row r="27" spans="2:6" ht="15.75">
      <c r="B27" s="21"/>
      <c r="C27" s="102" t="s">
        <v>637</v>
      </c>
      <c r="D27" s="189">
        <v>0</v>
      </c>
      <c r="E27" s="194"/>
      <c r="F27" s="194"/>
    </row>
    <row r="28" spans="2:6" ht="15.75">
      <c r="B28" s="21"/>
      <c r="C28" s="102" t="s">
        <v>638</v>
      </c>
      <c r="D28" s="189">
        <v>0</v>
      </c>
      <c r="E28" s="194"/>
      <c r="F28" s="194"/>
    </row>
    <row r="29" spans="2:6" ht="15">
      <c r="B29" s="95" t="s">
        <v>639</v>
      </c>
      <c r="C29" s="98"/>
      <c r="D29" s="188">
        <v>0</v>
      </c>
      <c r="E29" s="194"/>
      <c r="F29" s="194"/>
    </row>
    <row r="30" spans="3:6" ht="15.75">
      <c r="C30" s="21"/>
      <c r="D30" s="186"/>
      <c r="E30" s="194"/>
      <c r="F30" s="194"/>
    </row>
    <row r="31" spans="1:4" ht="15.75">
      <c r="A31" s="21" t="s">
        <v>640</v>
      </c>
      <c r="B31" s="21"/>
      <c r="C31" s="21"/>
      <c r="D31" s="189">
        <f>+D32+D54+D71+D74+D81+D89+D100+D101+D102</f>
        <v>277819.29780107347</v>
      </c>
    </row>
    <row r="32" spans="1:4" ht="15">
      <c r="A32" s="98"/>
      <c r="B32" s="95" t="s">
        <v>641</v>
      </c>
      <c r="C32" s="98"/>
      <c r="D32" s="188">
        <f>+D33+D38+D51</f>
        <v>158651.35366594014</v>
      </c>
    </row>
    <row r="33" spans="1:5" ht="15.75">
      <c r="A33" s="21"/>
      <c r="B33" s="21"/>
      <c r="C33" s="21" t="s">
        <v>642</v>
      </c>
      <c r="D33" s="189">
        <f>SUM(D34:D37)</f>
        <v>7687.75</v>
      </c>
      <c r="E33" s="100"/>
    </row>
    <row r="34" spans="1:4" ht="15.75">
      <c r="A34" s="21"/>
      <c r="B34" s="21"/>
      <c r="C34" s="99" t="s">
        <v>419</v>
      </c>
      <c r="D34" s="190">
        <f>+'magazzini mezzi'!G67</f>
        <v>3201</v>
      </c>
    </row>
    <row r="35" spans="1:4" ht="15.75">
      <c r="A35" s="21"/>
      <c r="B35" s="21"/>
      <c r="C35" s="99" t="s">
        <v>421</v>
      </c>
      <c r="D35" s="190">
        <f>+'magazzini mezzi'!G42</f>
        <v>3388.0699999999997</v>
      </c>
    </row>
    <row r="36" spans="1:4" ht="15.75">
      <c r="A36" s="21"/>
      <c r="B36" s="21"/>
      <c r="C36" s="15" t="s">
        <v>422</v>
      </c>
      <c r="D36" s="190">
        <f>+'magazzini mezzi'!G56</f>
        <v>1098.68</v>
      </c>
    </row>
    <row r="37" spans="1:4" ht="15.75">
      <c r="A37" s="21"/>
      <c r="B37" s="21"/>
      <c r="C37" s="99" t="s">
        <v>643</v>
      </c>
      <c r="D37" s="190">
        <v>0</v>
      </c>
    </row>
    <row r="38" spans="1:5" ht="15.75">
      <c r="A38" s="21"/>
      <c r="B38" s="21"/>
      <c r="C38" s="102" t="s">
        <v>644</v>
      </c>
      <c r="D38" s="189">
        <f>SUM(D39,D46:D50)</f>
        <v>141800.29366594015</v>
      </c>
      <c r="E38" s="100"/>
    </row>
    <row r="39" spans="1:5" ht="15.75">
      <c r="A39" s="21"/>
      <c r="B39" s="21"/>
      <c r="C39" s="99" t="s">
        <v>645</v>
      </c>
      <c r="D39" s="190">
        <f>SUM(D40:D45)</f>
        <v>114201.01696382734</v>
      </c>
      <c r="E39" s="100"/>
    </row>
    <row r="40" spans="1:4" ht="15.75">
      <c r="A40" s="21"/>
      <c r="B40" s="21"/>
      <c r="C40" s="101" t="s">
        <v>650</v>
      </c>
      <c r="D40" s="190">
        <f>+'magazzini mezzi'!G176</f>
        <v>48951.435999999994</v>
      </c>
    </row>
    <row r="41" spans="1:4" ht="15.75">
      <c r="A41" s="21"/>
      <c r="B41" s="21"/>
      <c r="C41" s="99" t="s">
        <v>651</v>
      </c>
      <c r="D41" s="190">
        <f>+'magazzini mezzi'!G144</f>
        <v>25697.38299999999</v>
      </c>
    </row>
    <row r="42" spans="1:4" ht="15.75">
      <c r="A42" s="21"/>
      <c r="B42" s="21"/>
      <c r="C42" s="101" t="s">
        <v>649</v>
      </c>
      <c r="D42" s="190">
        <f>+'magazzini mezzi'!G190</f>
        <v>1224.64</v>
      </c>
    </row>
    <row r="43" spans="1:4" ht="15.75">
      <c r="A43" s="21"/>
      <c r="B43" s="21"/>
      <c r="C43" s="101" t="s">
        <v>648</v>
      </c>
      <c r="D43" s="190">
        <f>+'magazzini mezzi'!G109</f>
        <v>4105.8</v>
      </c>
    </row>
    <row r="44" spans="1:4" ht="15.75">
      <c r="A44" s="21"/>
      <c r="B44" s="21"/>
      <c r="C44" s="101" t="s">
        <v>646</v>
      </c>
      <c r="D44" s="190">
        <f>+'magazzini mezzi'!G97</f>
        <v>27277.417963827356</v>
      </c>
    </row>
    <row r="45" spans="1:4" ht="15.75">
      <c r="A45" s="21"/>
      <c r="B45" s="21"/>
      <c r="C45" s="101" t="s">
        <v>647</v>
      </c>
      <c r="D45" s="190">
        <f>+'magazzini mezzi'!G199</f>
        <v>6944.34</v>
      </c>
    </row>
    <row r="46" spans="1:4" ht="15.75">
      <c r="A46" s="21"/>
      <c r="B46" s="21"/>
      <c r="C46" s="99" t="s">
        <v>652</v>
      </c>
      <c r="D46" s="190">
        <f>+'magazzini mezzi'!G206</f>
        <v>1450</v>
      </c>
    </row>
    <row r="47" spans="1:4" ht="15.75">
      <c r="A47" s="21"/>
      <c r="B47" s="21"/>
      <c r="C47" s="99" t="s">
        <v>653</v>
      </c>
      <c r="D47" s="190">
        <f>+'spese allev'!J65-'spese allev'!J11</f>
        <v>16765.09474401813</v>
      </c>
    </row>
    <row r="48" spans="1:4" ht="15.75">
      <c r="A48" s="21"/>
      <c r="B48" s="21"/>
      <c r="C48" s="99" t="s">
        <v>654</v>
      </c>
      <c r="D48" s="190">
        <f>+'spese allev'!L65</f>
        <v>3737.98075681594</v>
      </c>
    </row>
    <row r="49" spans="1:4" ht="15.75">
      <c r="A49" s="21"/>
      <c r="B49" s="21"/>
      <c r="C49" s="99" t="s">
        <v>486</v>
      </c>
      <c r="D49" s="190">
        <f>+'spese allev'!K65</f>
        <v>4858.811012926917</v>
      </c>
    </row>
    <row r="50" spans="1:4" ht="15.75">
      <c r="A50" s="21"/>
      <c r="B50" s="21"/>
      <c r="C50" s="99" t="s">
        <v>655</v>
      </c>
      <c r="D50" s="190">
        <f>+'spese allev'!M65</f>
        <v>787.3901883518311</v>
      </c>
    </row>
    <row r="51" spans="1:4" ht="15.75">
      <c r="A51" s="21"/>
      <c r="B51" s="21"/>
      <c r="C51" s="102" t="s">
        <v>656</v>
      </c>
      <c r="D51" s="189">
        <f>+D52+D53</f>
        <v>9163.31</v>
      </c>
    </row>
    <row r="52" spans="1:4" ht="15.75">
      <c r="A52" s="21"/>
      <c r="B52" s="21"/>
      <c r="C52" s="99" t="s">
        <v>584</v>
      </c>
      <c r="D52" s="190">
        <f>+'spese mecc'!F13</f>
        <v>7339.009999999999</v>
      </c>
    </row>
    <row r="53" spans="1:4" ht="15.75">
      <c r="A53" s="21"/>
      <c r="B53" s="21"/>
      <c r="C53" s="99" t="s">
        <v>583</v>
      </c>
      <c r="D53" s="190">
        <f>+'spese mecc'!G13</f>
        <v>1824.3</v>
      </c>
    </row>
    <row r="54" spans="1:4" ht="15">
      <c r="A54" s="98"/>
      <c r="B54" s="95" t="s">
        <v>657</v>
      </c>
      <c r="C54" s="98"/>
      <c r="D54" s="188">
        <f>+D55+D59+D60+D67</f>
        <v>29275.21920369294</v>
      </c>
    </row>
    <row r="55" spans="1:4" ht="15.75">
      <c r="A55" s="21"/>
      <c r="B55" s="21"/>
      <c r="C55" s="21" t="s">
        <v>658</v>
      </c>
      <c r="D55" s="189">
        <f>+D56+D57</f>
        <v>8940.45184170313</v>
      </c>
    </row>
    <row r="56" spans="1:4" ht="15.75">
      <c r="A56" s="21"/>
      <c r="B56" s="21"/>
      <c r="C56" s="15" t="s">
        <v>659</v>
      </c>
      <c r="D56" s="190">
        <f>+'spese colture'!K10+'spese colture'!K17</f>
        <v>5621.312465479773</v>
      </c>
    </row>
    <row r="57" spans="1:4" ht="15.75">
      <c r="A57" s="21"/>
      <c r="B57" s="21"/>
      <c r="C57" s="99" t="s">
        <v>660</v>
      </c>
      <c r="D57" s="190">
        <f>SUM(D58:D58)</f>
        <v>3319.1393762233574</v>
      </c>
    </row>
    <row r="58" spans="1:4" ht="15.75">
      <c r="A58" s="21"/>
      <c r="B58" s="21"/>
      <c r="C58" s="103" t="s">
        <v>661</v>
      </c>
      <c r="D58" s="191">
        <f>+'spese allev'!J11</f>
        <v>3319.1393762233574</v>
      </c>
    </row>
    <row r="59" spans="1:4" ht="15.75">
      <c r="A59" s="21"/>
      <c r="B59" s="21"/>
      <c r="C59" s="102" t="s">
        <v>662</v>
      </c>
      <c r="D59" s="189">
        <v>0</v>
      </c>
    </row>
    <row r="60" spans="1:5" ht="15.75">
      <c r="A60" s="21"/>
      <c r="B60" s="21"/>
      <c r="C60" s="102" t="s">
        <v>663</v>
      </c>
      <c r="D60" s="189">
        <f>+D62+D61+D63</f>
        <v>12189.870214381259</v>
      </c>
      <c r="E60" s="100"/>
    </row>
    <row r="61" spans="1:4" ht="15.75">
      <c r="A61" s="21"/>
      <c r="B61" s="21"/>
      <c r="C61" s="99" t="s">
        <v>495</v>
      </c>
      <c r="D61" s="190">
        <f>+'spese varie'!C27</f>
        <v>1330.3929720545173</v>
      </c>
    </row>
    <row r="62" spans="1:4" ht="15.75">
      <c r="A62" s="21"/>
      <c r="B62" s="21"/>
      <c r="C62" s="99" t="s">
        <v>664</v>
      </c>
      <c r="D62" s="190">
        <v>0</v>
      </c>
    </row>
    <row r="63" spans="1:5" ht="15.75">
      <c r="A63" s="21"/>
      <c r="B63" s="21"/>
      <c r="C63" s="99" t="s">
        <v>490</v>
      </c>
      <c r="D63" s="190">
        <f>SUM(D64:D66)</f>
        <v>10859.477242326742</v>
      </c>
      <c r="E63" s="100"/>
    </row>
    <row r="64" spans="1:4" ht="15.75">
      <c r="A64" s="21"/>
      <c r="B64" s="21"/>
      <c r="C64" s="104" t="s">
        <v>665</v>
      </c>
      <c r="D64" s="191">
        <f>+'spese varie'!D27</f>
        <v>3898.629839846716</v>
      </c>
    </row>
    <row r="65" spans="1:4" ht="15.75">
      <c r="A65" s="21"/>
      <c r="B65" s="21"/>
      <c r="C65" s="103" t="s">
        <v>911</v>
      </c>
      <c r="D65" s="191">
        <f>+'spese varie'!F24</f>
        <v>664.0396225732982</v>
      </c>
    </row>
    <row r="66" spans="1:4" ht="15.75">
      <c r="A66" s="21"/>
      <c r="B66" s="21"/>
      <c r="C66" s="103" t="s">
        <v>666</v>
      </c>
      <c r="D66" s="191">
        <f>+'spese varie'!F27-'spese varie'!F24</f>
        <v>6296.807779906729</v>
      </c>
    </row>
    <row r="67" spans="1:4" ht="15.75">
      <c r="A67" s="21"/>
      <c r="B67" s="21"/>
      <c r="C67" s="105" t="s">
        <v>667</v>
      </c>
      <c r="D67" s="189">
        <f>+D68+D69+D70</f>
        <v>8144.897147608548</v>
      </c>
    </row>
    <row r="68" spans="1:4" ht="15.75">
      <c r="A68" s="21"/>
      <c r="B68" s="21"/>
      <c r="C68" s="99" t="s">
        <v>668</v>
      </c>
      <c r="D68" s="190">
        <f>+'spese mecc'!H13</f>
        <v>4251.473193304653</v>
      </c>
    </row>
    <row r="69" spans="1:4" ht="15.75">
      <c r="A69" s="21"/>
      <c r="B69" s="21"/>
      <c r="C69" s="99" t="s">
        <v>670</v>
      </c>
      <c r="D69" s="190">
        <f>+'spese mecc'!J13</f>
        <v>104.11771085644048</v>
      </c>
    </row>
    <row r="70" spans="1:4" ht="15.75">
      <c r="A70" s="21"/>
      <c r="B70" s="21"/>
      <c r="C70" s="99" t="s">
        <v>669</v>
      </c>
      <c r="D70" s="190">
        <f>+'spese varie'!E27</f>
        <v>3789.3062434474537</v>
      </c>
    </row>
    <row r="71" spans="1:4" ht="15">
      <c r="A71" s="98"/>
      <c r="B71" s="95" t="s">
        <v>671</v>
      </c>
      <c r="C71" s="98"/>
      <c r="D71" s="188">
        <f>+D72+D73</f>
        <v>7207.259318173602</v>
      </c>
    </row>
    <row r="72" spans="1:4" ht="15.75">
      <c r="A72" s="21"/>
      <c r="B72" s="21"/>
      <c r="C72" s="21" t="s">
        <v>672</v>
      </c>
      <c r="D72" s="189">
        <f>+'spese varie'!I27</f>
        <v>7207.259318173602</v>
      </c>
    </row>
    <row r="73" spans="1:4" ht="15.75">
      <c r="A73" s="21"/>
      <c r="B73" s="21"/>
      <c r="C73" s="21" t="s">
        <v>673</v>
      </c>
      <c r="D73" s="189">
        <v>0</v>
      </c>
    </row>
    <row r="74" spans="1:4" ht="15">
      <c r="A74" s="98"/>
      <c r="B74" s="95" t="s">
        <v>674</v>
      </c>
      <c r="C74" s="98"/>
      <c r="D74" s="188">
        <f>+D75+D79</f>
        <v>52133.844969968035</v>
      </c>
    </row>
    <row r="75" spans="1:4" ht="15.75">
      <c r="A75" s="21"/>
      <c r="B75" s="21"/>
      <c r="C75" s="21" t="s">
        <v>675</v>
      </c>
      <c r="D75" s="189">
        <f>SUM(D76:D78)</f>
        <v>49401.99455654429</v>
      </c>
    </row>
    <row r="76" spans="1:5" ht="15.75">
      <c r="A76" s="21"/>
      <c r="B76" s="21"/>
      <c r="C76" s="101" t="s">
        <v>676</v>
      </c>
      <c r="D76" s="190">
        <f>+manodopera!J4+manodopera!J5</f>
        <v>13037.954417514087</v>
      </c>
      <c r="E76" s="100"/>
    </row>
    <row r="77" spans="1:5" ht="15.75">
      <c r="A77" s="21"/>
      <c r="B77" s="21"/>
      <c r="C77" s="99" t="s">
        <v>677</v>
      </c>
      <c r="D77" s="190">
        <f>+manodopera!I6</f>
        <v>36364.0401390302</v>
      </c>
      <c r="E77" s="100"/>
    </row>
    <row r="78" spans="1:4" ht="15.75">
      <c r="A78" s="21"/>
      <c r="B78" s="21"/>
      <c r="C78" s="99" t="s">
        <v>678</v>
      </c>
      <c r="D78" s="190">
        <v>0</v>
      </c>
    </row>
    <row r="79" spans="1:4" ht="15.75">
      <c r="A79" s="21"/>
      <c r="B79" s="21"/>
      <c r="C79" s="21" t="s">
        <v>679</v>
      </c>
      <c r="D79" s="189">
        <f>+D80</f>
        <v>2731.850413423748</v>
      </c>
    </row>
    <row r="80" spans="1:4" ht="15.75">
      <c r="A80" s="21"/>
      <c r="B80" s="21"/>
      <c r="C80" s="15" t="s">
        <v>680</v>
      </c>
      <c r="D80" s="190">
        <f>+manodopera!J3</f>
        <v>2731.850413423748</v>
      </c>
    </row>
    <row r="81" spans="1:4" ht="15">
      <c r="A81" s="98"/>
      <c r="B81" s="95" t="s">
        <v>681</v>
      </c>
      <c r="C81" s="98"/>
      <c r="D81" s="188">
        <f>+D82+D83+D86+D87</f>
        <v>30981.5</v>
      </c>
    </row>
    <row r="82" spans="1:4" ht="15.75">
      <c r="A82" s="21"/>
      <c r="B82" s="21"/>
      <c r="C82" s="21" t="s">
        <v>682</v>
      </c>
      <c r="D82" s="189">
        <v>0</v>
      </c>
    </row>
    <row r="83" spans="1:4" ht="15.75">
      <c r="A83" s="21"/>
      <c r="B83" s="21"/>
      <c r="C83" s="102" t="s">
        <v>683</v>
      </c>
      <c r="D83" s="189">
        <f>+D84+D85</f>
        <v>30981.5</v>
      </c>
    </row>
    <row r="84" spans="1:4" ht="15.75">
      <c r="A84" s="21"/>
      <c r="B84" s="21"/>
      <c r="C84" s="99" t="s">
        <v>684</v>
      </c>
      <c r="D84" s="190">
        <f>+fabbricati!M44</f>
        <v>3330</v>
      </c>
    </row>
    <row r="85" spans="1:4" ht="15.75">
      <c r="A85" s="21"/>
      <c r="B85" s="21"/>
      <c r="C85" s="99" t="s">
        <v>685</v>
      </c>
      <c r="D85" s="190">
        <f>+macchine!N142+'acq.macchine'!M9</f>
        <v>27651.5</v>
      </c>
    </row>
    <row r="86" spans="1:4" ht="15.75">
      <c r="A86" s="21"/>
      <c r="B86" s="21"/>
      <c r="C86" s="102" t="s">
        <v>686</v>
      </c>
      <c r="D86" s="189">
        <v>0</v>
      </c>
    </row>
    <row r="87" spans="1:5" ht="15.75">
      <c r="A87" s="21"/>
      <c r="B87" s="21"/>
      <c r="C87" s="102" t="s">
        <v>687</v>
      </c>
      <c r="D87" s="189">
        <v>0</v>
      </c>
      <c r="E87" s="100"/>
    </row>
    <row r="88" spans="1:6" ht="15.75">
      <c r="A88" s="21"/>
      <c r="B88" s="21"/>
      <c r="C88" s="102"/>
      <c r="D88" s="189"/>
      <c r="E88" s="22" t="s">
        <v>623</v>
      </c>
      <c r="F88" s="22" t="s">
        <v>624</v>
      </c>
    </row>
    <row r="89" spans="1:6" ht="15">
      <c r="A89" s="98"/>
      <c r="B89" s="98" t="s">
        <v>688</v>
      </c>
      <c r="C89" s="98"/>
      <c r="D89" s="188">
        <f>+D90+D95+D97</f>
        <v>-429.8793567012865</v>
      </c>
      <c r="E89" s="192">
        <f>+E90+E95+E97</f>
        <v>1363.6</v>
      </c>
      <c r="F89" s="192">
        <f>+F90+F95+F97</f>
        <v>933.7206432987134</v>
      </c>
    </row>
    <row r="90" spans="1:6" ht="15.75">
      <c r="A90" s="98"/>
      <c r="B90" s="98"/>
      <c r="C90" s="102" t="s">
        <v>689</v>
      </c>
      <c r="D90" s="189">
        <f>-E90+F90</f>
        <v>0</v>
      </c>
      <c r="E90" s="193">
        <f>SUM(E91:E94)</f>
        <v>0</v>
      </c>
      <c r="F90" s="193">
        <f>SUM(F91:F94)</f>
        <v>0</v>
      </c>
    </row>
    <row r="91" spans="1:6" ht="15">
      <c r="A91" s="98"/>
      <c r="B91" s="98"/>
      <c r="C91" s="99" t="s">
        <v>421</v>
      </c>
      <c r="D91" s="190">
        <v>0</v>
      </c>
      <c r="E91" s="194">
        <v>0</v>
      </c>
      <c r="F91" s="194">
        <v>0</v>
      </c>
    </row>
    <row r="92" spans="1:6" ht="15">
      <c r="A92" s="98"/>
      <c r="B92" s="98"/>
      <c r="C92" s="99" t="s">
        <v>422</v>
      </c>
      <c r="D92" s="190">
        <v>0</v>
      </c>
      <c r="E92" s="194">
        <v>0</v>
      </c>
      <c r="F92" s="194">
        <v>0</v>
      </c>
    </row>
    <row r="93" spans="1:6" ht="15">
      <c r="A93" s="98"/>
      <c r="B93" s="98"/>
      <c r="C93" s="99" t="s">
        <v>419</v>
      </c>
      <c r="D93" s="190">
        <v>0</v>
      </c>
      <c r="E93" s="194">
        <v>0</v>
      </c>
      <c r="F93" s="194">
        <v>0</v>
      </c>
    </row>
    <row r="94" spans="1:6" ht="15">
      <c r="A94" s="98"/>
      <c r="B94" s="98"/>
      <c r="C94" s="99" t="s">
        <v>690</v>
      </c>
      <c r="D94" s="190">
        <f aca="true" t="shared" si="1" ref="D94:D99">-E94+F94</f>
        <v>0</v>
      </c>
      <c r="E94" s="194">
        <v>0</v>
      </c>
      <c r="F94" s="194">
        <v>0</v>
      </c>
    </row>
    <row r="95" spans="1:6" ht="15.75">
      <c r="A95" s="98"/>
      <c r="B95" s="98"/>
      <c r="C95" s="102" t="s">
        <v>691</v>
      </c>
      <c r="D95" s="189">
        <f t="shared" si="1"/>
        <v>-719.0999999999999</v>
      </c>
      <c r="E95" s="193">
        <f>SUM(E96:E96)</f>
        <v>719.0999999999999</v>
      </c>
      <c r="F95" s="193">
        <f>SUM(F96:F96)</f>
        <v>0</v>
      </c>
    </row>
    <row r="96" spans="1:6" ht="15">
      <c r="A96" s="98"/>
      <c r="B96" s="98"/>
      <c r="C96" s="99" t="s">
        <v>404</v>
      </c>
      <c r="D96" s="190">
        <f t="shared" si="1"/>
        <v>-719.0999999999999</v>
      </c>
      <c r="E96" s="194">
        <f>+'magazzini mezzi'!H197</f>
        <v>719.0999999999999</v>
      </c>
      <c r="F96" s="194">
        <v>0</v>
      </c>
    </row>
    <row r="97" spans="1:6" ht="15.75">
      <c r="A97" s="98"/>
      <c r="B97" s="98"/>
      <c r="C97" s="102" t="s">
        <v>692</v>
      </c>
      <c r="D97" s="189">
        <f t="shared" si="1"/>
        <v>289.2206432987134</v>
      </c>
      <c r="E97" s="193">
        <f>+E98+E99</f>
        <v>644.5</v>
      </c>
      <c r="F97" s="193">
        <f>+F98+F99</f>
        <v>933.7206432987134</v>
      </c>
    </row>
    <row r="98" spans="1:6" ht="15">
      <c r="A98" s="98"/>
      <c r="B98" s="98"/>
      <c r="C98" s="99" t="s">
        <v>584</v>
      </c>
      <c r="D98" s="190">
        <f t="shared" si="1"/>
        <v>431.3571428571428</v>
      </c>
      <c r="E98" s="194">
        <f>+'magazzini mezzi'!H12</f>
        <v>412.5</v>
      </c>
      <c r="F98" s="194">
        <f>+'magazzini mezzi'!G4</f>
        <v>843.8571428571428</v>
      </c>
    </row>
    <row r="99" spans="1:6" ht="15">
      <c r="A99" s="98"/>
      <c r="B99" s="98"/>
      <c r="C99" s="99" t="s">
        <v>583</v>
      </c>
      <c r="D99" s="190">
        <f t="shared" si="1"/>
        <v>-142.1364995584293</v>
      </c>
      <c r="E99" s="194">
        <f>+'magazzini mezzi'!H28</f>
        <v>231.99999999999997</v>
      </c>
      <c r="F99" s="194">
        <f>+'magazzini mezzi'!G18</f>
        <v>89.86350044157065</v>
      </c>
    </row>
    <row r="100" spans="1:4" ht="15">
      <c r="A100" s="98"/>
      <c r="B100" s="98" t="s">
        <v>693</v>
      </c>
      <c r="C100" s="98"/>
      <c r="D100" s="188">
        <v>0</v>
      </c>
    </row>
    <row r="101" spans="1:4" ht="15">
      <c r="A101" s="98"/>
      <c r="B101" s="98" t="s">
        <v>694</v>
      </c>
      <c r="C101" s="98"/>
      <c r="D101" s="188">
        <v>0</v>
      </c>
    </row>
    <row r="102" spans="1:4" ht="15">
      <c r="A102" s="98"/>
      <c r="B102" s="98" t="s">
        <v>695</v>
      </c>
      <c r="C102" s="98"/>
      <c r="D102" s="188">
        <v>0</v>
      </c>
    </row>
    <row r="103" spans="1:4" ht="15.75">
      <c r="A103" s="21"/>
      <c r="B103" s="21"/>
      <c r="C103" s="21"/>
      <c r="D103" s="100"/>
    </row>
    <row r="104" spans="1:4" ht="15.75">
      <c r="A104" s="21" t="s">
        <v>696</v>
      </c>
      <c r="B104" s="21"/>
      <c r="C104" s="21"/>
      <c r="D104" s="193">
        <f>+D3-D31</f>
        <v>91442.03017520625</v>
      </c>
    </row>
    <row r="105" spans="1:4" ht="15.75">
      <c r="A105" s="21"/>
      <c r="B105" s="21"/>
      <c r="C105" s="21"/>
      <c r="D105" s="194"/>
    </row>
    <row r="106" spans="1:4" ht="15.75">
      <c r="A106" s="21" t="s">
        <v>697</v>
      </c>
      <c r="B106" s="21"/>
      <c r="C106" s="21"/>
      <c r="D106" s="193">
        <f>+D107+D108+D113</f>
        <v>-3512.5823748470552</v>
      </c>
    </row>
    <row r="107" spans="1:4" ht="15">
      <c r="A107" s="98"/>
      <c r="B107" s="98" t="s">
        <v>698</v>
      </c>
      <c r="C107" s="98"/>
      <c r="D107" s="192">
        <v>0</v>
      </c>
    </row>
    <row r="108" spans="1:4" ht="15">
      <c r="A108" s="98"/>
      <c r="B108" s="98" t="s">
        <v>699</v>
      </c>
      <c r="C108" s="98"/>
      <c r="D108" s="192">
        <v>0</v>
      </c>
    </row>
    <row r="109" spans="1:4" ht="15.75">
      <c r="A109" s="21"/>
      <c r="B109" s="21"/>
      <c r="C109" s="102" t="s">
        <v>700</v>
      </c>
      <c r="D109" s="194"/>
    </row>
    <row r="110" spans="1:4" ht="15.75">
      <c r="A110" s="21"/>
      <c r="B110" s="21"/>
      <c r="C110" s="102" t="s">
        <v>701</v>
      </c>
      <c r="D110" s="194"/>
    </row>
    <row r="111" spans="1:4" ht="15.75">
      <c r="A111" s="21"/>
      <c r="B111" s="21"/>
      <c r="C111" s="102" t="s">
        <v>702</v>
      </c>
      <c r="D111" s="194"/>
    </row>
    <row r="112" spans="1:4" ht="15.75">
      <c r="A112" s="21"/>
      <c r="B112" s="21"/>
      <c r="C112" s="102" t="s">
        <v>703</v>
      </c>
      <c r="D112" s="194"/>
    </row>
    <row r="113" spans="1:4" ht="15">
      <c r="A113" s="98"/>
      <c r="B113" s="98" t="s">
        <v>704</v>
      </c>
      <c r="C113" s="98"/>
      <c r="D113" s="192">
        <f>-mutui!M15</f>
        <v>-3512.5823748470552</v>
      </c>
    </row>
    <row r="114" spans="1:4" ht="15.75">
      <c r="A114" s="21"/>
      <c r="B114" s="21"/>
      <c r="C114" s="21"/>
      <c r="D114" s="194"/>
    </row>
    <row r="115" spans="1:4" ht="15.75">
      <c r="A115" s="102" t="s">
        <v>705</v>
      </c>
      <c r="B115" s="21"/>
      <c r="C115" s="21"/>
      <c r="D115" s="193">
        <v>0</v>
      </c>
    </row>
    <row r="116" spans="1:4" ht="15.75">
      <c r="A116" s="21"/>
      <c r="B116" s="21" t="s">
        <v>706</v>
      </c>
      <c r="C116" s="21"/>
      <c r="D116" s="193">
        <v>0</v>
      </c>
    </row>
    <row r="117" spans="1:4" ht="15.75">
      <c r="A117" s="21"/>
      <c r="B117" s="21"/>
      <c r="C117" s="102" t="s">
        <v>707</v>
      </c>
      <c r="D117" s="193"/>
    </row>
    <row r="118" spans="1:4" ht="15.75">
      <c r="A118" s="21"/>
      <c r="B118" s="21"/>
      <c r="C118" s="102" t="s">
        <v>708</v>
      </c>
      <c r="D118" s="193"/>
    </row>
    <row r="119" spans="1:4" ht="15.75">
      <c r="A119" s="21"/>
      <c r="B119" s="21"/>
      <c r="C119" s="102" t="s">
        <v>709</v>
      </c>
      <c r="D119" s="193"/>
    </row>
    <row r="120" spans="1:4" ht="15.75">
      <c r="A120" s="21"/>
      <c r="B120" s="102" t="s">
        <v>710</v>
      </c>
      <c r="C120" s="21"/>
      <c r="D120" s="193">
        <v>0</v>
      </c>
    </row>
    <row r="121" spans="1:4" ht="15.75">
      <c r="A121" s="21"/>
      <c r="B121" s="21"/>
      <c r="C121" s="102" t="s">
        <v>707</v>
      </c>
      <c r="D121" s="193"/>
    </row>
    <row r="122" spans="1:4" ht="15.75">
      <c r="A122" s="21"/>
      <c r="B122" s="21"/>
      <c r="C122" s="102" t="s">
        <v>708</v>
      </c>
      <c r="D122" s="193"/>
    </row>
    <row r="123" spans="1:4" ht="15.75">
      <c r="A123" s="21"/>
      <c r="B123" s="21"/>
      <c r="C123" s="102" t="s">
        <v>709</v>
      </c>
      <c r="D123" s="193"/>
    </row>
    <row r="124" spans="1:4" ht="15.75">
      <c r="A124" s="21"/>
      <c r="B124" s="21"/>
      <c r="C124" s="21"/>
      <c r="D124" s="194"/>
    </row>
    <row r="125" spans="1:4" ht="15">
      <c r="A125" s="98" t="s">
        <v>711</v>
      </c>
      <c r="B125" s="98"/>
      <c r="C125" s="98"/>
      <c r="D125" s="192"/>
    </row>
    <row r="126" spans="1:4" ht="15.75">
      <c r="A126" s="21"/>
      <c r="B126" s="102" t="s">
        <v>712</v>
      </c>
      <c r="C126" s="21"/>
      <c r="D126" s="193">
        <v>0</v>
      </c>
    </row>
    <row r="127" spans="1:4" ht="15.75">
      <c r="A127" s="21"/>
      <c r="B127" s="102"/>
      <c r="C127" s="15" t="s">
        <v>713</v>
      </c>
      <c r="D127" s="194">
        <v>0</v>
      </c>
    </row>
    <row r="128" spans="1:4" ht="15.75">
      <c r="A128" s="21"/>
      <c r="B128" s="102"/>
      <c r="C128" s="15" t="s">
        <v>714</v>
      </c>
      <c r="D128" s="194">
        <v>0</v>
      </c>
    </row>
    <row r="129" spans="1:4" ht="15.75">
      <c r="A129" s="21"/>
      <c r="B129" s="102" t="s">
        <v>715</v>
      </c>
      <c r="C129" s="21"/>
      <c r="D129" s="194"/>
    </row>
    <row r="130" spans="1:4" ht="15.75">
      <c r="A130" s="21"/>
      <c r="B130" s="21"/>
      <c r="C130" s="21"/>
      <c r="D130" s="194"/>
    </row>
    <row r="131" spans="1:5" ht="15.75">
      <c r="A131" s="21" t="s">
        <v>716</v>
      </c>
      <c r="B131" s="21"/>
      <c r="C131" s="21"/>
      <c r="D131" s="193">
        <f>+D104+D106+D126</f>
        <v>87929.4478003592</v>
      </c>
      <c r="E131" s="100"/>
    </row>
    <row r="132" spans="1:5" ht="15.75">
      <c r="A132" s="21"/>
      <c r="B132" s="21"/>
      <c r="C132" s="21"/>
      <c r="D132" s="193"/>
      <c r="E132" s="100"/>
    </row>
    <row r="133" spans="1:5" ht="15.75">
      <c r="A133" s="21"/>
      <c r="B133" s="21"/>
      <c r="C133" s="21" t="s">
        <v>717</v>
      </c>
      <c r="D133" s="193"/>
      <c r="E133" s="100"/>
    </row>
    <row r="134" spans="1:5" ht="15.75">
      <c r="A134" s="21"/>
      <c r="B134" s="21"/>
      <c r="C134" s="21"/>
      <c r="D134" s="193"/>
      <c r="E134" s="100"/>
    </row>
    <row r="135" spans="1:5" ht="15.75">
      <c r="A135" s="21"/>
      <c r="B135" s="106" t="s">
        <v>718</v>
      </c>
      <c r="C135" s="107" t="s">
        <v>719</v>
      </c>
      <c r="D135" s="195">
        <f>+D3</f>
        <v>369261.3279762797</v>
      </c>
      <c r="E135" s="109">
        <f aca="true" t="shared" si="2" ref="E135:E142">+D135/$D$3*100</f>
        <v>100</v>
      </c>
    </row>
    <row r="136" spans="1:5" ht="15.75">
      <c r="A136" s="21"/>
      <c r="B136" s="106"/>
      <c r="C136" s="15" t="s">
        <v>720</v>
      </c>
      <c r="D136" s="77">
        <f>+D32+D55+D89</f>
        <v>167161.926150942</v>
      </c>
      <c r="E136" s="111">
        <f t="shared" si="2"/>
        <v>45.269275032689045</v>
      </c>
    </row>
    <row r="137" spans="1:5" ht="15.75">
      <c r="A137" s="21"/>
      <c r="B137" s="106" t="s">
        <v>721</v>
      </c>
      <c r="C137" s="107" t="s">
        <v>722</v>
      </c>
      <c r="D137" s="195">
        <f>+D135-D136</f>
        <v>202099.40182533773</v>
      </c>
      <c r="E137" s="109">
        <f t="shared" si="2"/>
        <v>54.73072496731096</v>
      </c>
    </row>
    <row r="138" spans="1:5" ht="15.75">
      <c r="A138" s="21"/>
      <c r="C138" s="112" t="s">
        <v>723</v>
      </c>
      <c r="D138" s="77">
        <f>+D74</f>
        <v>52133.844969968035</v>
      </c>
      <c r="E138" s="111">
        <f t="shared" si="2"/>
        <v>14.118414526559079</v>
      </c>
    </row>
    <row r="139" spans="1:5" ht="15.75">
      <c r="A139" s="21"/>
      <c r="B139" s="106" t="s">
        <v>724</v>
      </c>
      <c r="C139" s="107" t="s">
        <v>725</v>
      </c>
      <c r="D139" s="195">
        <f>+D137-D138</f>
        <v>149965.5568553697</v>
      </c>
      <c r="E139" s="109">
        <f t="shared" si="2"/>
        <v>40.612310440751884</v>
      </c>
    </row>
    <row r="140" spans="1:5" ht="15.75">
      <c r="A140" s="21"/>
      <c r="C140" s="112" t="s">
        <v>726</v>
      </c>
      <c r="D140" s="77">
        <f>+D81</f>
        <v>30981.5</v>
      </c>
      <c r="E140" s="111">
        <f t="shared" si="2"/>
        <v>8.390128522202076</v>
      </c>
    </row>
    <row r="141" spans="1:5" ht="15.75">
      <c r="A141" s="21"/>
      <c r="B141" s="106" t="s">
        <v>727</v>
      </c>
      <c r="C141" s="107" t="s">
        <v>728</v>
      </c>
      <c r="D141" s="195">
        <f>+D139-D140</f>
        <v>118984.05685536971</v>
      </c>
      <c r="E141" s="109">
        <f t="shared" si="2"/>
        <v>32.22218191854981</v>
      </c>
    </row>
    <row r="142" spans="1:5" ht="15.75">
      <c r="A142" s="21"/>
      <c r="B142" s="106" t="s">
        <v>729</v>
      </c>
      <c r="C142" s="107" t="s">
        <v>730</v>
      </c>
      <c r="D142" s="195">
        <f>+D143+D144+D145</f>
        <v>27542.026680163406</v>
      </c>
      <c r="E142" s="109">
        <f t="shared" si="2"/>
        <v>7.458681587672952</v>
      </c>
    </row>
    <row r="143" spans="1:5" ht="15.75">
      <c r="A143" s="21"/>
      <c r="C143" s="112" t="s">
        <v>731</v>
      </c>
      <c r="D143" s="77">
        <f>+D60</f>
        <v>12189.870214381259</v>
      </c>
      <c r="E143" s="111"/>
    </row>
    <row r="144" spans="1:5" ht="15.75">
      <c r="A144" s="21"/>
      <c r="C144" s="112" t="s">
        <v>732</v>
      </c>
      <c r="D144" s="77">
        <f>+D67</f>
        <v>8144.897147608548</v>
      </c>
      <c r="E144" s="111"/>
    </row>
    <row r="145" spans="1:5" ht="15.75">
      <c r="A145" s="21"/>
      <c r="C145" s="112" t="s">
        <v>733</v>
      </c>
      <c r="D145" s="77">
        <f>+D72</f>
        <v>7207.259318173602</v>
      </c>
      <c r="E145" s="111"/>
    </row>
    <row r="146" spans="1:5" ht="15.75">
      <c r="A146" s="21"/>
      <c r="B146" s="106" t="s">
        <v>734</v>
      </c>
      <c r="C146" s="107" t="s">
        <v>735</v>
      </c>
      <c r="D146" s="195">
        <f>+D141-D142</f>
        <v>91442.03017520631</v>
      </c>
      <c r="E146" s="109">
        <f>+D146/$D$3*100</f>
        <v>24.76350033087686</v>
      </c>
    </row>
    <row r="147" spans="1:5" ht="15.75">
      <c r="A147" s="21"/>
      <c r="C147" s="112" t="s">
        <v>736</v>
      </c>
      <c r="D147" s="77">
        <f>+D106</f>
        <v>-3512.5823748470552</v>
      </c>
      <c r="E147" s="111"/>
    </row>
    <row r="148" spans="2:5" ht="15.75">
      <c r="B148" s="106" t="s">
        <v>737</v>
      </c>
      <c r="C148" s="107" t="s">
        <v>738</v>
      </c>
      <c r="D148" s="195">
        <f>+D146+D147</f>
        <v>87929.44780035925</v>
      </c>
      <c r="E148" s="109">
        <f>+D148/$D$3*100</f>
        <v>23.812254665890055</v>
      </c>
    </row>
    <row r="149" spans="3:5" ht="15">
      <c r="C149" s="112" t="s">
        <v>451</v>
      </c>
      <c r="D149" s="77">
        <f>+'spese varie'!H27</f>
        <v>2065.001265319403</v>
      </c>
      <c r="E149" s="111"/>
    </row>
    <row r="150" spans="2:5" ht="15.75">
      <c r="B150" s="106" t="s">
        <v>739</v>
      </c>
      <c r="C150" s="107" t="s">
        <v>740</v>
      </c>
      <c r="D150" s="195">
        <f>+D148-D149</f>
        <v>85864.44653503985</v>
      </c>
      <c r="E150" s="109">
        <f>+D150/$D$3*100</f>
        <v>23.253029773146334</v>
      </c>
    </row>
    <row r="151" spans="2:5" ht="15.75">
      <c r="B151" s="106"/>
      <c r="C151" s="107"/>
      <c r="D151" s="108"/>
      <c r="E151" s="109"/>
    </row>
    <row r="152" spans="2:5" ht="15.75">
      <c r="B152" s="106"/>
      <c r="C152" s="107" t="s">
        <v>741</v>
      </c>
      <c r="D152" s="108"/>
      <c r="E152" s="109"/>
    </row>
    <row r="153" spans="2:5" ht="15.75">
      <c r="B153" s="106"/>
      <c r="C153" s="107"/>
      <c r="D153" s="108"/>
      <c r="E153" s="109"/>
    </row>
    <row r="154" spans="2:5" ht="15.75">
      <c r="B154" s="106"/>
      <c r="C154" s="107" t="s">
        <v>719</v>
      </c>
      <c r="D154" s="178">
        <f>+D135</f>
        <v>369261.3279762797</v>
      </c>
      <c r="E154" s="109"/>
    </row>
    <row r="155" spans="3:4" ht="15">
      <c r="C155" s="15" t="s">
        <v>720</v>
      </c>
      <c r="D155" s="190">
        <f>+D136</f>
        <v>167161.926150942</v>
      </c>
    </row>
    <row r="156" spans="3:4" ht="15.75">
      <c r="C156" s="21" t="s">
        <v>742</v>
      </c>
      <c r="D156" s="189">
        <f>+D135-D155</f>
        <v>202099.40182533773</v>
      </c>
    </row>
    <row r="157" spans="3:4" ht="15">
      <c r="C157" s="15" t="s">
        <v>609</v>
      </c>
      <c r="D157" s="190">
        <f>+D138+D140+D143+D144+D145+D149-D147</f>
        <v>116234.95529029789</v>
      </c>
    </row>
    <row r="158" spans="3:4" ht="15.75">
      <c r="C158" s="107" t="s">
        <v>740</v>
      </c>
      <c r="D158" s="189">
        <f>+D150</f>
        <v>85864.44653503985</v>
      </c>
    </row>
    <row r="159" spans="3:4" ht="15.75">
      <c r="C159" s="107"/>
      <c r="D159" s="113"/>
    </row>
    <row r="160" ht="15.75">
      <c r="C160" s="93" t="s">
        <v>923</v>
      </c>
    </row>
    <row r="162" spans="3:7" ht="15.75">
      <c r="C162" s="114" t="s">
        <v>743</v>
      </c>
      <c r="D162" s="110"/>
      <c r="E162" s="110"/>
      <c r="G162" s="114" t="s">
        <v>744</v>
      </c>
    </row>
    <row r="163" spans="3:8" ht="15.75">
      <c r="C163" s="107" t="s">
        <v>745</v>
      </c>
      <c r="D163" s="178">
        <f>+D164+D165+D166</f>
        <v>90725.3408315556</v>
      </c>
      <c r="E163" s="178"/>
      <c r="F163" s="190"/>
      <c r="G163" s="178" t="s">
        <v>746</v>
      </c>
      <c r="H163" s="178">
        <f>+D38/6</f>
        <v>23633.382277656692</v>
      </c>
    </row>
    <row r="164" spans="3:8" ht="15">
      <c r="C164" s="112" t="s">
        <v>747</v>
      </c>
      <c r="D164" s="182">
        <v>11298.55</v>
      </c>
      <c r="E164" s="182"/>
      <c r="F164" s="190"/>
      <c r="G164" s="190" t="s">
        <v>934</v>
      </c>
      <c r="H164" s="190">
        <f>+H163</f>
        <v>23633.382277656692</v>
      </c>
    </row>
    <row r="165" spans="3:8" ht="15">
      <c r="C165" s="112" t="s">
        <v>748</v>
      </c>
      <c r="D165" s="182">
        <f>+D8/6</f>
        <v>57505.45902762329</v>
      </c>
      <c r="E165" s="182"/>
      <c r="F165" s="190"/>
      <c r="G165" s="190"/>
      <c r="H165" s="190"/>
    </row>
    <row r="166" spans="3:8" ht="15.75">
      <c r="C166" s="112" t="s">
        <v>749</v>
      </c>
      <c r="D166" s="182">
        <f>+E14+E22+E23+E89</f>
        <v>21921.3318039323</v>
      </c>
      <c r="E166" s="182"/>
      <c r="F166" s="190"/>
      <c r="G166" s="178" t="s">
        <v>750</v>
      </c>
      <c r="H166" s="178">
        <f>+H167+H168+H169</f>
        <v>29980.771502194373</v>
      </c>
    </row>
    <row r="167" spans="3:8" ht="15">
      <c r="C167" s="112"/>
      <c r="D167" s="182"/>
      <c r="E167" s="182"/>
      <c r="F167" s="190"/>
      <c r="G167" s="190" t="s">
        <v>751</v>
      </c>
      <c r="H167" s="182">
        <v>0</v>
      </c>
    </row>
    <row r="168" spans="3:8" ht="15.75">
      <c r="C168" s="107" t="s">
        <v>752</v>
      </c>
      <c r="D168" s="178">
        <f>SUM(D169:D175)</f>
        <v>774416</v>
      </c>
      <c r="E168" s="178"/>
      <c r="F168" s="190"/>
      <c r="G168" s="190" t="s">
        <v>753</v>
      </c>
      <c r="H168" s="182">
        <f>+mutui!N15</f>
        <v>29980.771502194373</v>
      </c>
    </row>
    <row r="169" spans="3:8" ht="15">
      <c r="C169" s="15" t="s">
        <v>754</v>
      </c>
      <c r="D169" s="182">
        <f>+terreni!G8</f>
        <v>380090</v>
      </c>
      <c r="E169" s="182"/>
      <c r="F169" s="190"/>
      <c r="G169" s="190" t="s">
        <v>755</v>
      </c>
      <c r="H169" s="182">
        <v>0</v>
      </c>
    </row>
    <row r="170" spans="3:8" ht="15">
      <c r="C170" s="112" t="s">
        <v>756</v>
      </c>
      <c r="D170" s="182">
        <f>+fabbricati!G44</f>
        <v>111000</v>
      </c>
      <c r="E170" s="182"/>
      <c r="F170" s="190"/>
      <c r="G170" s="190"/>
      <c r="H170" s="190"/>
    </row>
    <row r="171" spans="3:8" ht="15.75">
      <c r="C171" s="112" t="s">
        <v>757</v>
      </c>
      <c r="D171" s="182">
        <f>-fabbricati!N45</f>
        <v>-67860</v>
      </c>
      <c r="E171" s="182"/>
      <c r="F171" s="190"/>
      <c r="G171" s="189" t="s">
        <v>758</v>
      </c>
      <c r="H171" s="178">
        <f>+D77/12*3</f>
        <v>9091.01003475755</v>
      </c>
    </row>
    <row r="172" spans="3:8" ht="15">
      <c r="C172" s="112" t="s">
        <v>759</v>
      </c>
      <c r="D172" s="182">
        <f>+'acq.macchine'!M8</f>
        <v>362230</v>
      </c>
      <c r="E172" s="182"/>
      <c r="F172" s="190"/>
      <c r="G172" s="190"/>
      <c r="H172" s="190"/>
    </row>
    <row r="173" spans="3:8" ht="15.75">
      <c r="C173" s="112" t="s">
        <v>760</v>
      </c>
      <c r="D173" s="182">
        <f>-'acq.macchine'!M14</f>
        <v>-134614</v>
      </c>
      <c r="E173" s="182"/>
      <c r="F173" s="190"/>
      <c r="G173" s="178" t="s">
        <v>761</v>
      </c>
      <c r="H173" s="178">
        <f>+H174+H175</f>
        <v>802436.1770169471</v>
      </c>
    </row>
    <row r="174" spans="3:8" ht="15">
      <c r="C174" s="112" t="s">
        <v>762</v>
      </c>
      <c r="D174" s="182">
        <f>+E21</f>
        <v>123570</v>
      </c>
      <c r="E174" s="182"/>
      <c r="F174" s="190"/>
      <c r="G174" s="190" t="s">
        <v>763</v>
      </c>
      <c r="H174" s="190">
        <f>+H177-H175-H171-H166-H163</f>
        <v>716571.7304819073</v>
      </c>
    </row>
    <row r="175" spans="3:8" ht="15">
      <c r="C175" s="112" t="s">
        <v>764</v>
      </c>
      <c r="D175" s="182">
        <v>0</v>
      </c>
      <c r="E175" s="190"/>
      <c r="F175" s="190"/>
      <c r="G175" s="190" t="s">
        <v>765</v>
      </c>
      <c r="H175" s="190">
        <f>+D150</f>
        <v>85864.44653503985</v>
      </c>
    </row>
    <row r="176" spans="4:8" ht="15.75">
      <c r="D176" s="190"/>
      <c r="E176" s="178"/>
      <c r="F176" s="190"/>
      <c r="G176" s="190"/>
      <c r="H176" s="190"/>
    </row>
    <row r="177" spans="3:8" ht="15.75">
      <c r="C177" s="107" t="s">
        <v>766</v>
      </c>
      <c r="D177" s="178">
        <f>+D163+D168</f>
        <v>865141.3408315557</v>
      </c>
      <c r="E177" s="190"/>
      <c r="F177" s="190"/>
      <c r="G177" s="178" t="s">
        <v>767</v>
      </c>
      <c r="H177" s="178">
        <f>+D177</f>
        <v>865141.3408315557</v>
      </c>
    </row>
    <row r="178" spans="7:8" ht="15">
      <c r="G178" s="113"/>
      <c r="H178" s="190"/>
    </row>
    <row r="179" spans="7:8" ht="15">
      <c r="G179" s="113"/>
      <c r="H179" s="113"/>
    </row>
    <row r="180" spans="3:8" ht="15.75">
      <c r="C180" s="21" t="s">
        <v>768</v>
      </c>
      <c r="G180" s="21" t="s">
        <v>774</v>
      </c>
      <c r="H180" s="113"/>
    </row>
    <row r="182" spans="2:8" ht="15">
      <c r="B182" s="15">
        <v>1</v>
      </c>
      <c r="C182" s="15" t="s">
        <v>769</v>
      </c>
      <c r="D182" s="115">
        <f>+D164/H163*100</f>
        <v>47.80758787404626</v>
      </c>
      <c r="F182" s="15">
        <v>1</v>
      </c>
      <c r="G182" s="15" t="s">
        <v>775</v>
      </c>
      <c r="H182" s="115">
        <f>+D150/H173*100</f>
        <v>10.700470516451608</v>
      </c>
    </row>
    <row r="183" spans="2:8" ht="15">
      <c r="B183" s="15">
        <v>2</v>
      </c>
      <c r="C183" s="15" t="s">
        <v>770</v>
      </c>
      <c r="D183" s="115">
        <f>+D163/H163*100</f>
        <v>383.8864017247693</v>
      </c>
      <c r="F183" s="15">
        <v>2</v>
      </c>
      <c r="G183" s="15" t="s">
        <v>776</v>
      </c>
      <c r="H183" s="115">
        <f>+D146/(H177)*100</f>
        <v>10.56960589668668</v>
      </c>
    </row>
    <row r="184" spans="2:8" ht="15">
      <c r="B184" s="15">
        <v>3</v>
      </c>
      <c r="C184" s="15" t="s">
        <v>771</v>
      </c>
      <c r="D184" s="115">
        <f>+H166/D168*100</f>
        <v>3.8714039356359335</v>
      </c>
      <c r="F184" s="15">
        <v>3</v>
      </c>
      <c r="G184" s="15" t="s">
        <v>777</v>
      </c>
      <c r="H184" s="115">
        <f>-D147/(H163+H166)*100</f>
        <v>6.551595291926684</v>
      </c>
    </row>
    <row r="185" spans="2:8" ht="15">
      <c r="B185" s="15">
        <v>4</v>
      </c>
      <c r="C185" s="15" t="s">
        <v>772</v>
      </c>
      <c r="D185" s="115">
        <f>+H173/D168*100</f>
        <v>103.6182332256755</v>
      </c>
      <c r="F185" s="15">
        <v>4</v>
      </c>
      <c r="G185" s="15" t="s">
        <v>778</v>
      </c>
      <c r="H185" s="115">
        <f>+D146/D3*100</f>
        <v>24.76350033087686</v>
      </c>
    </row>
    <row r="186" spans="2:4" ht="15">
      <c r="B186" s="15">
        <v>5</v>
      </c>
      <c r="C186" s="15" t="s">
        <v>773</v>
      </c>
      <c r="D186" s="115">
        <f>+H166/D168*100</f>
        <v>3.8714039356359335</v>
      </c>
    </row>
    <row r="193" ht="15">
      <c r="D193" s="115"/>
    </row>
    <row r="194" ht="15">
      <c r="D194" s="115"/>
    </row>
    <row r="195" ht="15">
      <c r="D195" s="115"/>
    </row>
  </sheetData>
  <printOptions/>
  <pageMargins left="0.75" right="0.75" top="1" bottom="1" header="0.5" footer="0.5"/>
  <pageSetup fitToHeight="4" fitToWidth="1" horizontalDpi="300" verticalDpi="300" orientation="landscape" paperSize="9" scale="86" r:id="rId1"/>
  <rowBreaks count="2" manualBreakCount="2">
    <brk id="53" max="5" man="1"/>
    <brk id="105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9"/>
  <dimension ref="A1:M269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15" customWidth="1"/>
    <col min="2" max="2" width="17.140625" style="15" customWidth="1"/>
    <col min="3" max="3" width="12.8515625" style="15" customWidth="1"/>
    <col min="4" max="4" width="18.00390625" style="15" customWidth="1"/>
    <col min="5" max="5" width="15.421875" style="15" bestFit="1" customWidth="1"/>
    <col min="6" max="6" width="15.00390625" style="15" bestFit="1" customWidth="1"/>
    <col min="7" max="10" width="9.140625" style="15" customWidth="1"/>
    <col min="11" max="11" width="11.00390625" style="15" bestFit="1" customWidth="1"/>
    <col min="12" max="13" width="12.57421875" style="15" customWidth="1"/>
    <col min="14" max="16384" width="9.140625" style="15" customWidth="1"/>
  </cols>
  <sheetData>
    <row r="1" ht="15.75">
      <c r="A1" s="21" t="s">
        <v>546</v>
      </c>
    </row>
    <row r="3" spans="2:13" ht="15">
      <c r="B3" s="15" t="s">
        <v>513</v>
      </c>
      <c r="C3" s="15" t="s">
        <v>514</v>
      </c>
      <c r="D3" s="15" t="s">
        <v>508</v>
      </c>
      <c r="E3" s="15" t="s">
        <v>485</v>
      </c>
      <c r="F3" s="15" t="s">
        <v>515</v>
      </c>
      <c r="G3" s="15" t="s">
        <v>522</v>
      </c>
      <c r="H3" s="15" t="s">
        <v>523</v>
      </c>
      <c r="I3" s="15" t="s">
        <v>524</v>
      </c>
      <c r="M3" s="15" t="s">
        <v>596</v>
      </c>
    </row>
    <row r="4" spans="1:13" ht="15">
      <c r="A4" s="15" t="s">
        <v>509</v>
      </c>
      <c r="B4" s="17">
        <f>+'magazzini prodotti'!E64</f>
        <v>9333.69</v>
      </c>
      <c r="C4" s="17">
        <f>+'magazzini prodotti'!F64</f>
        <v>36.96638244528581</v>
      </c>
      <c r="D4" s="17">
        <f>+B4*C4</f>
        <v>345032.75416573975</v>
      </c>
      <c r="E4" s="17">
        <f>+'spese allev'!G$66*G4/SUM(G$4:G$6)</f>
        <v>185324.87288897033</v>
      </c>
      <c r="F4" s="38">
        <f aca="true" t="shared" si="0" ref="F4:F10">+D4-E4</f>
        <v>159707.88127676942</v>
      </c>
      <c r="G4" s="28">
        <f>+D4/D$11</f>
        <v>0.8125399050847371</v>
      </c>
      <c r="H4" s="28">
        <f>+E4/E$11</f>
        <v>0.8474459214237677</v>
      </c>
      <c r="I4" s="28"/>
      <c r="L4" s="15" t="s">
        <v>599</v>
      </c>
      <c r="M4" s="19">
        <f>+'spese allev'!G67</f>
        <v>142675.2637078248</v>
      </c>
    </row>
    <row r="5" spans="1:13" ht="15">
      <c r="A5" s="15" t="s">
        <v>510</v>
      </c>
      <c r="B5" s="17"/>
      <c r="C5" s="18"/>
      <c r="D5" s="17">
        <f>+'allevamenti consistenza'!G16</f>
        <v>27670</v>
      </c>
      <c r="E5" s="17">
        <f>+'spese allev'!G$66*G5/SUM(G$4:G$6)</f>
        <v>14862.180969562545</v>
      </c>
      <c r="F5" s="38">
        <f t="shared" si="0"/>
        <v>12807.819030437455</v>
      </c>
      <c r="G5" s="28">
        <f aca="true" t="shared" si="1" ref="G5:G11">+D5/D$11</f>
        <v>0.06516186913342947</v>
      </c>
      <c r="H5" s="28"/>
      <c r="L5" s="15" t="s">
        <v>601</v>
      </c>
      <c r="M5" s="19">
        <f>+'magazzini mezzi'!G42+'magazzini mezzi'!G56+'magazzini mezzi'!G67+'spese colture'!K10+'spese colture'!P10+'spese colture'!K17+'spese colture'!P27</f>
        <v>14790.880600347327</v>
      </c>
    </row>
    <row r="6" spans="1:13" ht="15">
      <c r="A6" s="15" t="s">
        <v>418</v>
      </c>
      <c r="B6" s="17">
        <f>+'magazzini prodotti'!E71</f>
        <v>9500</v>
      </c>
      <c r="C6" s="17">
        <f>+'magazzini prodotti'!F72</f>
        <v>0.3</v>
      </c>
      <c r="D6" s="17">
        <f>+B6*C6</f>
        <v>2850</v>
      </c>
      <c r="E6" s="17">
        <f>+'spese allev'!G$66*G6/SUM(G$4:G$6)</f>
        <v>1530.7992686394382</v>
      </c>
      <c r="F6" s="38">
        <f t="shared" si="0"/>
        <v>1319.2007313605618</v>
      </c>
      <c r="G6" s="28">
        <f t="shared" si="1"/>
        <v>0.006711648971097723</v>
      </c>
      <c r="H6" s="28"/>
      <c r="L6" s="15" t="s">
        <v>602</v>
      </c>
      <c r="M6" s="19">
        <f>SUM(B16:B17,B22,B25:B30)</f>
        <v>102966.35733348626</v>
      </c>
    </row>
    <row r="7" spans="1:13" ht="15">
      <c r="A7" s="15" t="s">
        <v>465</v>
      </c>
      <c r="B7" s="17">
        <f>+'magazzini prodotti'!E13</f>
        <v>9450</v>
      </c>
      <c r="C7" s="17">
        <f>+'magazzini prodotti'!F14</f>
        <v>2.7372215651742784</v>
      </c>
      <c r="D7" s="17">
        <f>+B7*C7</f>
        <v>25866.74379089693</v>
      </c>
      <c r="E7" s="17">
        <f>+'spese colture'!C10</f>
        <v>11912.163010330374</v>
      </c>
      <c r="F7" s="38">
        <f t="shared" si="0"/>
        <v>13954.580780566555</v>
      </c>
      <c r="G7" s="28">
        <f t="shared" si="1"/>
        <v>0.06091526468414799</v>
      </c>
      <c r="H7" s="28">
        <f>+E7/E$11</f>
        <v>0.05447144682239978</v>
      </c>
      <c r="I7" s="28">
        <f>+J7/J$11</f>
        <v>0.3375283161339038</v>
      </c>
      <c r="J7" s="15">
        <v>13.41</v>
      </c>
      <c r="M7" s="19">
        <f>+M4+M5+M6</f>
        <v>260432.5016416584</v>
      </c>
    </row>
    <row r="8" spans="1:13" ht="15">
      <c r="A8" s="15" t="s">
        <v>511</v>
      </c>
      <c r="B8" s="17">
        <f>+'magazzini prodotti'!E24</f>
        <v>1420</v>
      </c>
      <c r="C8" s="17">
        <f>+'magazzini prodotti'!F25</f>
        <v>2.5822844954474324</v>
      </c>
      <c r="D8" s="17">
        <f>+B8*C8</f>
        <v>3666.8439835353543</v>
      </c>
      <c r="E8" s="17">
        <f>+'spese colture'!G12+'spese colture'!K13</f>
        <v>1423.1432740587538</v>
      </c>
      <c r="F8" s="38">
        <f t="shared" si="0"/>
        <v>2243.7007094766004</v>
      </c>
      <c r="G8" s="28">
        <f t="shared" si="1"/>
        <v>0.008635287596235415</v>
      </c>
      <c r="H8" s="28">
        <f>+E8/E$11</f>
        <v>0.006507690761645929</v>
      </c>
      <c r="I8" s="28">
        <f>+J8/J$11</f>
        <v>0.11049584696702741</v>
      </c>
      <c r="J8" s="15">
        <f>13.17/3</f>
        <v>4.39</v>
      </c>
      <c r="M8" s="19">
        <f>+M7*0.04</f>
        <v>10417.300065666335</v>
      </c>
    </row>
    <row r="9" spans="1:10" ht="15">
      <c r="A9" s="15" t="s">
        <v>600</v>
      </c>
      <c r="B9" s="17">
        <f>+'magazzini prodotti'!E42</f>
        <v>1881</v>
      </c>
      <c r="C9" s="17">
        <f>+'magazzini prodotti'!F43</f>
        <v>8.5</v>
      </c>
      <c r="D9" s="17">
        <f>+B9*C9</f>
        <v>15988.5</v>
      </c>
      <c r="E9" s="17">
        <f>+'spese colture'!C27</f>
        <v>3186.4453515483856</v>
      </c>
      <c r="F9" s="38">
        <f t="shared" si="0"/>
        <v>12802.054648451614</v>
      </c>
      <c r="G9" s="28">
        <f t="shared" si="1"/>
        <v>0.037652350727858226</v>
      </c>
      <c r="H9" s="28">
        <f>+E9/E$11</f>
        <v>0.014570845644810987</v>
      </c>
      <c r="I9" s="28">
        <f>+J9/J$11</f>
        <v>0.47319405990435437</v>
      </c>
      <c r="J9" s="197">
        <f>+E136</f>
        <v>18.8</v>
      </c>
    </row>
    <row r="10" spans="1:10" ht="15">
      <c r="A10" s="15" t="s">
        <v>512</v>
      </c>
      <c r="B10" s="17">
        <f>+'magazzini prodotti'!E33</f>
        <v>356</v>
      </c>
      <c r="C10" s="17">
        <f>+'magazzini prodotti'!F34</f>
        <v>10</v>
      </c>
      <c r="D10" s="17">
        <f>+B10*C10</f>
        <v>3560</v>
      </c>
      <c r="E10" s="17">
        <f>+'spese colture'!C21</f>
        <v>446.7658994708995</v>
      </c>
      <c r="F10" s="38">
        <f t="shared" si="0"/>
        <v>3113.2341005291005</v>
      </c>
      <c r="G10" s="28">
        <f t="shared" si="1"/>
        <v>0.008383673802493998</v>
      </c>
      <c r="H10" s="28">
        <f>+E10/E$11</f>
        <v>0.002042952645458784</v>
      </c>
      <c r="I10" s="28">
        <f>+J10/J$11</f>
        <v>0.07878177699471431</v>
      </c>
      <c r="J10" s="15">
        <f>+F180</f>
        <v>3.13</v>
      </c>
    </row>
    <row r="11" spans="4:10" ht="15">
      <c r="D11" s="17">
        <f>SUM(D4:D10)</f>
        <v>424634.8419401721</v>
      </c>
      <c r="E11" s="17">
        <f>SUM(E4:E10)</f>
        <v>218686.37066258074</v>
      </c>
      <c r="F11" s="17">
        <f>SUM(F4:F10)</f>
        <v>205948.4712775913</v>
      </c>
      <c r="G11" s="28">
        <f t="shared" si="1"/>
        <v>1</v>
      </c>
      <c r="H11" s="28">
        <f>+E11/E$11</f>
        <v>1</v>
      </c>
      <c r="I11" s="28">
        <f>+J11/J$11</f>
        <v>1</v>
      </c>
      <c r="J11" s="15">
        <f>SUM(J7:J10)</f>
        <v>39.730000000000004</v>
      </c>
    </row>
    <row r="12" spans="4:6" ht="15">
      <c r="D12" s="38"/>
      <c r="E12" s="37"/>
      <c r="F12" s="19"/>
    </row>
    <row r="13" spans="1:6" ht="15.75">
      <c r="A13" s="21" t="s">
        <v>525</v>
      </c>
      <c r="D13" s="197"/>
      <c r="E13" s="37"/>
      <c r="F13" s="37"/>
    </row>
    <row r="14" spans="1:5" ht="15.75">
      <c r="A14" s="21"/>
      <c r="E14" s="38"/>
    </row>
    <row r="15" spans="1:4" ht="15">
      <c r="A15" s="22" t="s">
        <v>547</v>
      </c>
      <c r="B15" s="22" t="s">
        <v>548</v>
      </c>
      <c r="D15" s="22" t="s">
        <v>545</v>
      </c>
    </row>
    <row r="16" spans="1:4" ht="15">
      <c r="A16" s="39" t="s">
        <v>486</v>
      </c>
      <c r="B16" s="36">
        <f>+'magazzini mezzi'!H11+'magazzini mezzi'!H27</f>
        <v>9452.530643298713</v>
      </c>
      <c r="C16" s="28"/>
      <c r="D16" s="15" t="s">
        <v>466</v>
      </c>
    </row>
    <row r="17" spans="1:5" ht="15">
      <c r="A17" s="39" t="s">
        <v>490</v>
      </c>
      <c r="B17" s="36">
        <f>+'spese varie'!F27</f>
        <v>6960.847402480027</v>
      </c>
      <c r="C17" s="28"/>
      <c r="D17" s="15" t="s">
        <v>508</v>
      </c>
      <c r="E17" s="19"/>
    </row>
    <row r="18" spans="1:5" ht="15">
      <c r="A18" s="39" t="s">
        <v>491</v>
      </c>
      <c r="B18" s="36">
        <f>+B19+B20</f>
        <v>27651.5</v>
      </c>
      <c r="C18" s="28"/>
      <c r="E18" s="19"/>
    </row>
    <row r="19" spans="1:5" ht="15">
      <c r="A19" s="39" t="s">
        <v>536</v>
      </c>
      <c r="B19" s="36">
        <f>+macchine!N142-macchine!N145+'acq.macchine'!M9</f>
        <v>20914</v>
      </c>
      <c r="C19" s="198">
        <f>+B19/B18</f>
        <v>0.7563423322423738</v>
      </c>
      <c r="D19" s="15" t="s">
        <v>466</v>
      </c>
      <c r="E19" s="19"/>
    </row>
    <row r="20" spans="1:5" ht="15">
      <c r="A20" s="39" t="s">
        <v>537</v>
      </c>
      <c r="B20" s="36">
        <f>+macchine!N145</f>
        <v>6737.5</v>
      </c>
      <c r="C20" s="28"/>
      <c r="D20" s="15" t="s">
        <v>538</v>
      </c>
      <c r="E20" s="19"/>
    </row>
    <row r="21" spans="1:5" ht="15">
      <c r="A21" s="39" t="s">
        <v>492</v>
      </c>
      <c r="B21" s="36">
        <f>+fabbricati!M44</f>
        <v>3330</v>
      </c>
      <c r="C21" s="28"/>
      <c r="D21" s="15" t="s">
        <v>508</v>
      </c>
      <c r="E21" s="19"/>
    </row>
    <row r="22" spans="1:5" ht="15">
      <c r="A22" s="39" t="s">
        <v>493</v>
      </c>
      <c r="B22" s="36">
        <f>+'spese mecc'!H13+'spese mecc'!J13</f>
        <v>4355.590904161094</v>
      </c>
      <c r="C22" s="28"/>
      <c r="E22" s="19"/>
    </row>
    <row r="23" spans="1:5" ht="15">
      <c r="A23" s="39" t="s">
        <v>536</v>
      </c>
      <c r="B23" s="36">
        <f>+B22*C19</f>
        <v>3294.317782746871</v>
      </c>
      <c r="C23" s="28"/>
      <c r="D23" s="15" t="s">
        <v>466</v>
      </c>
      <c r="E23" s="19"/>
    </row>
    <row r="24" spans="1:5" ht="15">
      <c r="A24" s="39" t="s">
        <v>537</v>
      </c>
      <c r="B24" s="36">
        <f>+B22-B23</f>
        <v>1061.2731214142227</v>
      </c>
      <c r="C24" s="28"/>
      <c r="D24" s="15" t="s">
        <v>538</v>
      </c>
      <c r="E24" s="19"/>
    </row>
    <row r="25" spans="1:5" ht="15">
      <c r="A25" s="39" t="s">
        <v>494</v>
      </c>
      <c r="B25" s="36">
        <f>+'spese varie'!E27</f>
        <v>3789.3062434474537</v>
      </c>
      <c r="C25" s="28"/>
      <c r="D25" s="15" t="s">
        <v>508</v>
      </c>
      <c r="E25" s="19"/>
    </row>
    <row r="26" spans="1:5" ht="15">
      <c r="A26" s="39" t="s">
        <v>495</v>
      </c>
      <c r="B26" s="36">
        <f>+'spese varie'!C27+'spese varie'!G27</f>
        <v>1330.3929720545173</v>
      </c>
      <c r="C26" s="28"/>
      <c r="D26" s="15" t="s">
        <v>508</v>
      </c>
      <c r="E26" s="19"/>
    </row>
    <row r="27" spans="1:5" ht="15">
      <c r="A27" s="39" t="s">
        <v>935</v>
      </c>
      <c r="B27" s="36">
        <f>+'Bilancio compilato'!E28</f>
        <v>14224.002505055754</v>
      </c>
      <c r="C27" s="28"/>
      <c r="D27" s="15" t="s">
        <v>508</v>
      </c>
      <c r="E27" s="19"/>
    </row>
    <row r="28" spans="1:5" ht="15">
      <c r="A28" s="39" t="s">
        <v>496</v>
      </c>
      <c r="B28" s="36">
        <f>+manodopera!I6+manodopera!J6</f>
        <v>52133.844969968035</v>
      </c>
      <c r="C28" s="28"/>
      <c r="D28" s="15" t="s">
        <v>508</v>
      </c>
      <c r="E28" s="19"/>
    </row>
    <row r="29" spans="1:5" ht="15">
      <c r="A29" s="39" t="s">
        <v>497</v>
      </c>
      <c r="B29" s="36">
        <f>+mutui!M15</f>
        <v>3512.5823748470552</v>
      </c>
      <c r="C29" s="28"/>
      <c r="D29" s="15" t="s">
        <v>538</v>
      </c>
      <c r="E29" s="19"/>
    </row>
    <row r="30" spans="1:5" ht="15">
      <c r="A30" s="39" t="s">
        <v>498</v>
      </c>
      <c r="B30" s="36">
        <f>+'spese varie'!I27</f>
        <v>7207.259318173602</v>
      </c>
      <c r="C30" s="28"/>
      <c r="D30" s="15" t="s">
        <v>466</v>
      </c>
      <c r="E30" s="19"/>
    </row>
    <row r="31" spans="1:5" ht="15">
      <c r="A31" s="39" t="s">
        <v>501</v>
      </c>
      <c r="B31" s="36">
        <f>+manodopera!L6</f>
        <v>34826.90076138912</v>
      </c>
      <c r="C31" s="28"/>
      <c r="D31" s="15" t="s">
        <v>508</v>
      </c>
      <c r="E31" s="19"/>
    </row>
    <row r="32" spans="1:5" ht="15">
      <c r="A32" s="39" t="s">
        <v>593</v>
      </c>
      <c r="B32" s="36">
        <f>+(macchine!I142-macchine!I145+'acq.macchine'!M2+'acq.macchine'!M3)*0.04</f>
        <v>11072</v>
      </c>
      <c r="C32" s="28"/>
      <c r="D32" s="15" t="s">
        <v>466</v>
      </c>
      <c r="E32" s="19"/>
    </row>
    <row r="33" spans="1:5" ht="15">
      <c r="A33" s="39" t="s">
        <v>595</v>
      </c>
      <c r="B33" s="36">
        <f>+macchine!I145*0.04</f>
        <v>3267.2000000000003</v>
      </c>
      <c r="C33" s="36"/>
      <c r="D33" s="15" t="s">
        <v>538</v>
      </c>
      <c r="E33" s="19"/>
    </row>
    <row r="34" spans="1:5" ht="15">
      <c r="A34" s="39" t="s">
        <v>603</v>
      </c>
      <c r="B34" s="36">
        <f>+'allevamenti consistenza'!G7*0.04</f>
        <v>4806</v>
      </c>
      <c r="C34" s="36"/>
      <c r="D34" s="15" t="s">
        <v>538</v>
      </c>
      <c r="E34" s="19"/>
    </row>
    <row r="35" spans="1:5" ht="15">
      <c r="A35" s="39" t="s">
        <v>594</v>
      </c>
      <c r="B35" s="36">
        <f>+M7/3*0.04</f>
        <v>3472.4333552221124</v>
      </c>
      <c r="C35" s="28"/>
      <c r="D35" s="15" t="s">
        <v>508</v>
      </c>
      <c r="E35" s="19"/>
    </row>
    <row r="36" spans="1:5" ht="15">
      <c r="A36" s="39" t="s">
        <v>502</v>
      </c>
      <c r="B36" s="36">
        <f>+terreni!H8</f>
        <v>3800.9</v>
      </c>
      <c r="C36" s="28"/>
      <c r="D36" s="15" t="s">
        <v>466</v>
      </c>
      <c r="E36" s="19"/>
    </row>
    <row r="37" spans="1:5" ht="15">
      <c r="A37" s="15" t="s">
        <v>503</v>
      </c>
      <c r="B37" s="38">
        <f>SUM(B16:B18,B21:B22,B25:B36)</f>
        <v>195193.2914500975</v>
      </c>
      <c r="E37" s="19"/>
    </row>
    <row r="38" ht="15">
      <c r="E38" s="19"/>
    </row>
    <row r="39" ht="15">
      <c r="E39" s="19"/>
    </row>
    <row r="40" ht="15">
      <c r="E40" s="19"/>
    </row>
    <row r="41" ht="15">
      <c r="E41" s="19"/>
    </row>
    <row r="42" ht="15">
      <c r="E42" s="19"/>
    </row>
    <row r="45" spans="1:3" ht="15.75">
      <c r="A45" s="21" t="s">
        <v>465</v>
      </c>
      <c r="B45" s="21"/>
      <c r="C45" s="21"/>
    </row>
    <row r="46" spans="2:6" ht="15">
      <c r="B46" s="15" t="s">
        <v>470</v>
      </c>
      <c r="E46" s="36">
        <v>17.8</v>
      </c>
      <c r="F46" s="37">
        <f>+F47+F48</f>
        <v>13.41</v>
      </c>
    </row>
    <row r="47" spans="2:6" ht="15">
      <c r="B47" s="15" t="s">
        <v>520</v>
      </c>
      <c r="E47" s="36">
        <f>+E46-E48</f>
        <v>4.630000000000001</v>
      </c>
      <c r="F47" s="37">
        <f>+E47</f>
        <v>4.630000000000001</v>
      </c>
    </row>
    <row r="48" spans="2:6" ht="15">
      <c r="B48" s="15" t="s">
        <v>519</v>
      </c>
      <c r="E48" s="36">
        <v>13.17</v>
      </c>
      <c r="F48" s="37">
        <f>+E48/3*2</f>
        <v>8.78</v>
      </c>
    </row>
    <row r="49" spans="2:5" ht="15">
      <c r="B49" s="15" t="s">
        <v>479</v>
      </c>
      <c r="E49" s="17">
        <f>+'magazzini prodotti'!E13</f>
        <v>9450</v>
      </c>
    </row>
    <row r="50" spans="2:5" ht="15">
      <c r="B50" s="15" t="s">
        <v>471</v>
      </c>
      <c r="E50" s="17">
        <f>+E49/E46</f>
        <v>530.8988764044943</v>
      </c>
    </row>
    <row r="51" spans="2:5" ht="15">
      <c r="B51" s="15" t="s">
        <v>477</v>
      </c>
      <c r="E51" s="17">
        <f>+'magazzini prodotti'!F13</f>
        <v>2.7372215651742784</v>
      </c>
    </row>
    <row r="52" spans="2:5" ht="15">
      <c r="B52" s="15" t="s">
        <v>478</v>
      </c>
      <c r="E52" s="17">
        <f>+E51*E49</f>
        <v>25866.74379089693</v>
      </c>
    </row>
    <row r="53" spans="2:5" ht="15">
      <c r="B53" s="15" t="s">
        <v>482</v>
      </c>
      <c r="E53" s="28">
        <f>+I7</f>
        <v>0.3375283161339038</v>
      </c>
    </row>
    <row r="54" spans="2:5" ht="15">
      <c r="B54" s="15" t="s">
        <v>483</v>
      </c>
      <c r="E54" s="28">
        <f>+G7</f>
        <v>0.06091526468414799</v>
      </c>
    </row>
    <row r="55" spans="2:5" ht="15">
      <c r="B55" s="15" t="s">
        <v>484</v>
      </c>
      <c r="E55" s="28">
        <f>+H7</f>
        <v>0.05447144682239978</v>
      </c>
    </row>
    <row r="56" ht="15">
      <c r="F56" s="16"/>
    </row>
    <row r="57" spans="1:6" ht="15">
      <c r="A57" s="23"/>
      <c r="B57" s="24" t="s">
        <v>489</v>
      </c>
      <c r="C57" s="24" t="s">
        <v>487</v>
      </c>
      <c r="D57" s="24" t="s">
        <v>467</v>
      </c>
      <c r="E57" s="215" t="s">
        <v>469</v>
      </c>
      <c r="F57" s="215"/>
    </row>
    <row r="58" spans="1:6" ht="15">
      <c r="A58" s="25"/>
      <c r="B58" s="25"/>
      <c r="C58" s="26" t="s">
        <v>488</v>
      </c>
      <c r="D58" s="26" t="s">
        <v>468</v>
      </c>
      <c r="E58" s="26" t="s">
        <v>480</v>
      </c>
      <c r="F58" s="26" t="s">
        <v>481</v>
      </c>
    </row>
    <row r="59" spans="1:6" ht="15">
      <c r="A59" s="15" t="s">
        <v>473</v>
      </c>
      <c r="B59" s="38">
        <f>SUM(B60:B64)</f>
        <v>10712.163010330374</v>
      </c>
      <c r="C59" s="28">
        <v>1</v>
      </c>
      <c r="D59" s="38">
        <f>SUM(D60:D64)</f>
        <v>10712.163010330374</v>
      </c>
      <c r="E59" s="38">
        <f aca="true" t="shared" si="2" ref="E59:E66">+D59/$E$46</f>
        <v>601.8069106927177</v>
      </c>
      <c r="F59" s="38">
        <f aca="true" t="shared" si="3" ref="F59:F66">+D59/E$49</f>
        <v>1.1335622233153835</v>
      </c>
    </row>
    <row r="60" spans="1:6" ht="15">
      <c r="A60" s="20" t="s">
        <v>419</v>
      </c>
      <c r="B60" s="67">
        <f>+'spese colture'!G10</f>
        <v>2452.8</v>
      </c>
      <c r="C60" s="78">
        <v>1</v>
      </c>
      <c r="D60" s="67">
        <f>+B60</f>
        <v>2452.8</v>
      </c>
      <c r="E60" s="67">
        <f t="shared" si="2"/>
        <v>137.79775280898878</v>
      </c>
      <c r="F60" s="67">
        <f t="shared" si="3"/>
        <v>0.2595555555555556</v>
      </c>
    </row>
    <row r="61" spans="1:6" ht="15">
      <c r="A61" s="20" t="s">
        <v>421</v>
      </c>
      <c r="B61" s="67">
        <f>+'spese colture'!H10</f>
        <v>1823.992784992785</v>
      </c>
      <c r="C61" s="78">
        <v>1</v>
      </c>
      <c r="D61" s="67">
        <f>+B61</f>
        <v>1823.992784992785</v>
      </c>
      <c r="E61" s="67">
        <f t="shared" si="2"/>
        <v>102.47150477487556</v>
      </c>
      <c r="F61" s="67">
        <f t="shared" si="3"/>
        <v>0.193015109523046</v>
      </c>
    </row>
    <row r="62" spans="1:6" ht="15">
      <c r="A62" s="20" t="s">
        <v>422</v>
      </c>
      <c r="B62" s="67">
        <f>+'spese colture'!J10</f>
        <v>970.4741590790541</v>
      </c>
      <c r="C62" s="78">
        <v>1</v>
      </c>
      <c r="D62" s="67">
        <f>+B62</f>
        <v>970.4741590790541</v>
      </c>
      <c r="E62" s="67">
        <f t="shared" si="2"/>
        <v>54.52102017298056</v>
      </c>
      <c r="F62" s="67">
        <f t="shared" si="3"/>
        <v>0.10269567820942371</v>
      </c>
    </row>
    <row r="63" spans="1:6" ht="15">
      <c r="A63" s="20" t="s">
        <v>472</v>
      </c>
      <c r="B63" s="67">
        <f>+'spese colture'!K10</f>
        <v>4485.693785584869</v>
      </c>
      <c r="C63" s="78">
        <v>1</v>
      </c>
      <c r="D63" s="67">
        <f>+B63</f>
        <v>4485.693785584869</v>
      </c>
      <c r="E63" s="67">
        <f t="shared" si="2"/>
        <v>252.00526885308253</v>
      </c>
      <c r="F63" s="67">
        <f t="shared" si="3"/>
        <v>0.4746765910671819</v>
      </c>
    </row>
    <row r="64" spans="1:6" ht="15">
      <c r="A64" s="20" t="s">
        <v>420</v>
      </c>
      <c r="B64" s="67">
        <f>+'spese colture'!P10</f>
        <v>979.2022806736663</v>
      </c>
      <c r="C64" s="78">
        <v>1</v>
      </c>
      <c r="D64" s="67">
        <f>+B64</f>
        <v>979.2022806736663</v>
      </c>
      <c r="E64" s="67">
        <f t="shared" si="2"/>
        <v>55.011364082790244</v>
      </c>
      <c r="F64" s="67">
        <f t="shared" si="3"/>
        <v>0.10361928896017633</v>
      </c>
    </row>
    <row r="65" spans="1:6" ht="15">
      <c r="A65" s="15" t="s">
        <v>474</v>
      </c>
      <c r="B65" s="17">
        <f>+B66</f>
        <v>1200</v>
      </c>
      <c r="C65" s="28">
        <v>1</v>
      </c>
      <c r="D65" s="17">
        <f>+D66</f>
        <v>1200</v>
      </c>
      <c r="E65" s="17">
        <f t="shared" si="2"/>
        <v>67.41573033707864</v>
      </c>
      <c r="F65" s="17">
        <f t="shared" si="3"/>
        <v>0.12698412698412698</v>
      </c>
    </row>
    <row r="66" spans="1:6" ht="15">
      <c r="A66" s="20" t="s">
        <v>476</v>
      </c>
      <c r="B66" s="67">
        <f>+'spese colture'!S10</f>
        <v>1200</v>
      </c>
      <c r="C66" s="78">
        <v>1</v>
      </c>
      <c r="D66" s="67">
        <f>+B66</f>
        <v>1200</v>
      </c>
      <c r="E66" s="67">
        <f t="shared" si="2"/>
        <v>67.41573033707864</v>
      </c>
      <c r="F66" s="67">
        <f t="shared" si="3"/>
        <v>0.12698412698412698</v>
      </c>
    </row>
    <row r="67" spans="1:6" ht="15.75">
      <c r="A67" s="27" t="s">
        <v>475</v>
      </c>
      <c r="B67" s="68">
        <f>+B59+B65</f>
        <v>11912.163010330374</v>
      </c>
      <c r="C67" s="76">
        <v>1</v>
      </c>
      <c r="D67" s="68">
        <f>+D59+D65</f>
        <v>11912.163010330374</v>
      </c>
      <c r="E67" s="68">
        <f>+E59+E65</f>
        <v>669.2226410297964</v>
      </c>
      <c r="F67" s="68">
        <f>+F59+F65</f>
        <v>1.2605463502995105</v>
      </c>
    </row>
    <row r="68" spans="1:6" ht="15">
      <c r="A68" s="32" t="s">
        <v>499</v>
      </c>
      <c r="B68" s="70">
        <f>SUM(B69:B79)</f>
        <v>126149.08421207202</v>
      </c>
      <c r="C68" s="70"/>
      <c r="D68" s="70">
        <f>SUM(D69:D79)</f>
        <v>22709.631696210872</v>
      </c>
      <c r="E68" s="70">
        <f aca="true" t="shared" si="4" ref="E68:E85">+D68/$E$46</f>
        <v>1275.822005405105</v>
      </c>
      <c r="F68" s="70">
        <f aca="true" t="shared" si="5" ref="F68:F85">+D68/E$49</f>
        <v>2.4031356292286636</v>
      </c>
    </row>
    <row r="69" spans="1:6" ht="15">
      <c r="A69" s="20" t="s">
        <v>486</v>
      </c>
      <c r="B69" s="71">
        <f>+B16</f>
        <v>9452.530643298713</v>
      </c>
      <c r="C69" s="28">
        <f>+E53</f>
        <v>0.3375283161339038</v>
      </c>
      <c r="D69" s="67">
        <f aca="true" t="shared" si="6" ref="D69:D79">+B69*C69</f>
        <v>3190.496751236741</v>
      </c>
      <c r="E69" s="67">
        <f t="shared" si="4"/>
        <v>179.24139051891802</v>
      </c>
      <c r="F69" s="67">
        <f t="shared" si="5"/>
        <v>0.33761870383457576</v>
      </c>
    </row>
    <row r="70" spans="1:6" ht="15">
      <c r="A70" s="20" t="s">
        <v>490</v>
      </c>
      <c r="B70" s="71">
        <f>+B17</f>
        <v>6960.847402480027</v>
      </c>
      <c r="C70" s="28">
        <f>+E54</f>
        <v>0.06091526468414799</v>
      </c>
      <c r="D70" s="67">
        <f t="shared" si="6"/>
        <v>424.0218619480349</v>
      </c>
      <c r="E70" s="67">
        <f t="shared" si="4"/>
        <v>23.821452918428925</v>
      </c>
      <c r="F70" s="67">
        <f t="shared" si="5"/>
        <v>0.04487003830137935</v>
      </c>
    </row>
    <row r="71" spans="1:6" ht="15">
      <c r="A71" s="20" t="s">
        <v>491</v>
      </c>
      <c r="B71" s="71">
        <f>+B19</f>
        <v>20914</v>
      </c>
      <c r="C71" s="28">
        <f>+E53</f>
        <v>0.3375283161339038</v>
      </c>
      <c r="D71" s="67">
        <f t="shared" si="6"/>
        <v>7059.067203624465</v>
      </c>
      <c r="E71" s="67">
        <f t="shared" si="4"/>
        <v>396.57680919238567</v>
      </c>
      <c r="F71" s="67">
        <f t="shared" si="5"/>
        <v>0.7469912384787794</v>
      </c>
    </row>
    <row r="72" spans="1:6" ht="15">
      <c r="A72" s="20" t="s">
        <v>492</v>
      </c>
      <c r="B72" s="71">
        <f>+B21</f>
        <v>3330</v>
      </c>
      <c r="C72" s="28">
        <f>+C70</f>
        <v>0.06091526468414799</v>
      </c>
      <c r="D72" s="67">
        <f t="shared" si="6"/>
        <v>202.8478313982128</v>
      </c>
      <c r="E72" s="67">
        <f t="shared" si="4"/>
        <v>11.395945584169258</v>
      </c>
      <c r="F72" s="67">
        <f t="shared" si="5"/>
        <v>0.021465378983937862</v>
      </c>
    </row>
    <row r="73" spans="1:6" ht="15">
      <c r="A73" s="20" t="s">
        <v>493</v>
      </c>
      <c r="B73" s="71">
        <f>+B23</f>
        <v>3294.317782746871</v>
      </c>
      <c r="C73" s="28">
        <f>+E53</f>
        <v>0.3375283161339038</v>
      </c>
      <c r="D73" s="67">
        <f t="shared" si="6"/>
        <v>1111.925534020527</v>
      </c>
      <c r="E73" s="67">
        <f t="shared" si="4"/>
        <v>62.467726630366684</v>
      </c>
      <c r="F73" s="67">
        <f t="shared" si="5"/>
        <v>0.11766407767412984</v>
      </c>
    </row>
    <row r="74" spans="1:6" ht="15">
      <c r="A74" s="20" t="s">
        <v>494</v>
      </c>
      <c r="B74" s="71">
        <f aca="true" t="shared" si="7" ref="B74:B79">+B25</f>
        <v>3789.3062434474537</v>
      </c>
      <c r="C74" s="28">
        <f>+C72</f>
        <v>0.06091526468414799</v>
      </c>
      <c r="D74" s="67">
        <f t="shared" si="6"/>
        <v>230.82659278889616</v>
      </c>
      <c r="E74" s="67">
        <f t="shared" si="4"/>
        <v>12.96778611173574</v>
      </c>
      <c r="F74" s="67">
        <f t="shared" si="5"/>
        <v>0.024426094475015467</v>
      </c>
    </row>
    <row r="75" spans="1:6" ht="15">
      <c r="A75" s="20" t="s">
        <v>495</v>
      </c>
      <c r="B75" s="71">
        <f t="shared" si="7"/>
        <v>1330.3929720545173</v>
      </c>
      <c r="C75" s="28">
        <f>+C74</f>
        <v>0.06091526468414799</v>
      </c>
      <c r="D75" s="67">
        <f t="shared" si="6"/>
        <v>81.04124002663121</v>
      </c>
      <c r="E75" s="67">
        <f t="shared" si="4"/>
        <v>4.552878653181529</v>
      </c>
      <c r="F75" s="67">
        <f t="shared" si="5"/>
        <v>0.00857579259541071</v>
      </c>
    </row>
    <row r="76" spans="1:6" ht="15">
      <c r="A76" s="20" t="s">
        <v>451</v>
      </c>
      <c r="B76" s="71">
        <f t="shared" si="7"/>
        <v>14224.002505055754</v>
      </c>
      <c r="C76" s="28">
        <f>+C73</f>
        <v>0.3375283161339038</v>
      </c>
      <c r="D76" s="67">
        <f t="shared" si="6"/>
        <v>4801.003614215899</v>
      </c>
      <c r="E76" s="67">
        <f t="shared" si="4"/>
        <v>269.7193041694325</v>
      </c>
      <c r="F76" s="67">
        <f t="shared" si="5"/>
        <v>0.5080427104990369</v>
      </c>
    </row>
    <row r="77" spans="1:6" ht="15">
      <c r="A77" s="20" t="s">
        <v>496</v>
      </c>
      <c r="B77" s="71">
        <f t="shared" si="7"/>
        <v>52133.844969968035</v>
      </c>
      <c r="C77" s="28">
        <f>+C75</f>
        <v>0.06091526468414799</v>
      </c>
      <c r="D77" s="67">
        <f t="shared" si="6"/>
        <v>3175.74696534794</v>
      </c>
      <c r="E77" s="67">
        <f t="shared" si="4"/>
        <v>178.41275086224383</v>
      </c>
      <c r="F77" s="67">
        <f t="shared" si="5"/>
        <v>0.33605787993099895</v>
      </c>
    </row>
    <row r="78" spans="1:6" ht="15">
      <c r="A78" s="20" t="s">
        <v>497</v>
      </c>
      <c r="B78" s="71">
        <f t="shared" si="7"/>
        <v>3512.5823748470552</v>
      </c>
      <c r="C78" s="28">
        <v>0</v>
      </c>
      <c r="D78" s="67">
        <f t="shared" si="6"/>
        <v>0</v>
      </c>
      <c r="E78" s="67">
        <f t="shared" si="4"/>
        <v>0</v>
      </c>
      <c r="F78" s="67">
        <f t="shared" si="5"/>
        <v>0</v>
      </c>
    </row>
    <row r="79" spans="1:6" ht="15">
      <c r="A79" s="20" t="s">
        <v>498</v>
      </c>
      <c r="B79" s="71">
        <f t="shared" si="7"/>
        <v>7207.259318173602</v>
      </c>
      <c r="C79" s="28">
        <f>+C76</f>
        <v>0.3375283161339038</v>
      </c>
      <c r="D79" s="67">
        <f t="shared" si="6"/>
        <v>2432.6541016035235</v>
      </c>
      <c r="E79" s="67">
        <f t="shared" si="4"/>
        <v>136.6659607642429</v>
      </c>
      <c r="F79" s="67">
        <f t="shared" si="5"/>
        <v>0.2574237144553993</v>
      </c>
    </row>
    <row r="80" spans="1:6" ht="15">
      <c r="A80" s="32" t="s">
        <v>500</v>
      </c>
      <c r="B80" s="38">
        <f>SUM(B81:B84)</f>
        <v>53172.23411661124</v>
      </c>
      <c r="C80" s="28"/>
      <c r="D80" s="38">
        <f>+D81+D84</f>
        <v>3404.4012548019286</v>
      </c>
      <c r="E80" s="38">
        <f t="shared" si="4"/>
        <v>191.2584974607825</v>
      </c>
      <c r="F80" s="38">
        <f t="shared" si="5"/>
        <v>0.36025410103724115</v>
      </c>
    </row>
    <row r="81" spans="1:6" ht="15">
      <c r="A81" s="20" t="s">
        <v>501</v>
      </c>
      <c r="B81" s="71">
        <f>+B31</f>
        <v>34826.90076138912</v>
      </c>
      <c r="C81" s="28">
        <f>+C77</f>
        <v>0.06091526468414799</v>
      </c>
      <c r="D81" s="67">
        <f>+B81*C81</f>
        <v>2121.4898780085737</v>
      </c>
      <c r="E81" s="67">
        <f t="shared" si="4"/>
        <v>119.18482460722323</v>
      </c>
      <c r="F81" s="67">
        <f t="shared" si="5"/>
        <v>0.22449628338715066</v>
      </c>
    </row>
    <row r="82" spans="1:6" ht="15">
      <c r="A82" s="20" t="s">
        <v>604</v>
      </c>
      <c r="B82" s="71">
        <f>+B32</f>
        <v>11072</v>
      </c>
      <c r="C82" s="28">
        <f>+E53</f>
        <v>0.3375283161339038</v>
      </c>
      <c r="D82" s="67">
        <f>+B82*C82</f>
        <v>3737.113516234583</v>
      </c>
      <c r="E82" s="67">
        <f t="shared" si="4"/>
        <v>209.9501975412687</v>
      </c>
      <c r="F82" s="67">
        <f>+D82/E$49</f>
        <v>0.39546174774969134</v>
      </c>
    </row>
    <row r="83" spans="1:6" ht="15">
      <c r="A83" s="20" t="s">
        <v>605</v>
      </c>
      <c r="B83" s="71">
        <f>+B35</f>
        <v>3472.4333552221124</v>
      </c>
      <c r="C83" s="28">
        <f>+E54</f>
        <v>0.06091526468414799</v>
      </c>
      <c r="D83" s="67">
        <f>+B83*C83</f>
        <v>211.52419693141906</v>
      </c>
      <c r="E83" s="67">
        <f t="shared" si="4"/>
        <v>11.883381850079722</v>
      </c>
      <c r="F83" s="67">
        <f>+D83/E$49</f>
        <v>0.022383512902795666</v>
      </c>
    </row>
    <row r="84" spans="1:6" ht="15">
      <c r="A84" s="20" t="s">
        <v>502</v>
      </c>
      <c r="B84" s="71">
        <f>+B36</f>
        <v>3800.9</v>
      </c>
      <c r="C84" s="28">
        <f>+C79</f>
        <v>0.3375283161339038</v>
      </c>
      <c r="D84" s="67">
        <f>+B84*C84</f>
        <v>1282.911376793355</v>
      </c>
      <c r="E84" s="67">
        <f t="shared" si="4"/>
        <v>72.07367285355926</v>
      </c>
      <c r="F84" s="67">
        <f t="shared" si="5"/>
        <v>0.13575781765009048</v>
      </c>
    </row>
    <row r="85" spans="1:6" ht="15.75">
      <c r="A85" s="27" t="s">
        <v>503</v>
      </c>
      <c r="B85" s="68">
        <f>+B68+B80</f>
        <v>179321.31832868326</v>
      </c>
      <c r="C85" s="76"/>
      <c r="D85" s="68">
        <f>+D68+D80</f>
        <v>26114.0329510128</v>
      </c>
      <c r="E85" s="68">
        <f t="shared" si="4"/>
        <v>1467.0805028658876</v>
      </c>
      <c r="F85" s="68">
        <f t="shared" si="5"/>
        <v>2.7633897302659047</v>
      </c>
    </row>
    <row r="86" spans="1:6" ht="15.75">
      <c r="A86" s="35" t="s">
        <v>504</v>
      </c>
      <c r="B86" s="72"/>
      <c r="C86" s="72"/>
      <c r="D86" s="72">
        <f>+D85+D67</f>
        <v>38026.195961343175</v>
      </c>
      <c r="E86" s="72">
        <f>+E85+E67</f>
        <v>2136.303143895684</v>
      </c>
      <c r="F86" s="72">
        <f>+F85+F67</f>
        <v>4.023936080565415</v>
      </c>
    </row>
    <row r="87" spans="1:6" ht="15.75">
      <c r="A87" s="21" t="s">
        <v>506</v>
      </c>
      <c r="B87" s="38"/>
      <c r="C87" s="38"/>
      <c r="D87" s="73">
        <f>+D88</f>
        <v>25866.74379089693</v>
      </c>
      <c r="E87" s="73">
        <f>+D87/$E$46</f>
        <v>1453.1878534211758</v>
      </c>
      <c r="F87" s="73">
        <f>+D87/E$49</f>
        <v>2.7372215651742784</v>
      </c>
    </row>
    <row r="88" spans="1:6" ht="15">
      <c r="A88" s="15" t="s">
        <v>507</v>
      </c>
      <c r="B88" s="38"/>
      <c r="C88" s="38"/>
      <c r="D88" s="17">
        <f>+E52</f>
        <v>25866.74379089693</v>
      </c>
      <c r="E88" s="17">
        <f>+D88/$E$46</f>
        <v>1453.1878534211758</v>
      </c>
      <c r="F88" s="17">
        <f>+D88/E$49</f>
        <v>2.7372215651742784</v>
      </c>
    </row>
    <row r="89" spans="1:6" ht="15">
      <c r="A89" s="15" t="s">
        <v>516</v>
      </c>
      <c r="B89" s="38"/>
      <c r="C89" s="38"/>
      <c r="D89" s="38">
        <f>+D87-D67</f>
        <v>13954.580780566555</v>
      </c>
      <c r="E89" s="38">
        <f>+D89/$E$46</f>
        <v>783.9652123913795</v>
      </c>
      <c r="F89" s="38">
        <f>+D89/E$49</f>
        <v>1.4766752148747677</v>
      </c>
    </row>
    <row r="90" spans="1:6" ht="15">
      <c r="A90" s="25" t="s">
        <v>517</v>
      </c>
      <c r="B90" s="74"/>
      <c r="C90" s="74"/>
      <c r="D90" s="74">
        <f>+D87-D86</f>
        <v>-12159.452170446246</v>
      </c>
      <c r="E90" s="74">
        <f>+D90/$E$46</f>
        <v>-683.1152904745081</v>
      </c>
      <c r="F90" s="74">
        <f>+D90/E$49</f>
        <v>-1.2867145153911372</v>
      </c>
    </row>
    <row r="92" spans="1:3" ht="15.75">
      <c r="A92" s="21" t="s">
        <v>511</v>
      </c>
      <c r="B92" s="21"/>
      <c r="C92" s="21"/>
    </row>
    <row r="93" spans="2:6" ht="15">
      <c r="B93" s="15" t="s">
        <v>470</v>
      </c>
      <c r="E93" s="36">
        <v>13.17</v>
      </c>
      <c r="F93" s="15">
        <f>+E93/3</f>
        <v>4.39</v>
      </c>
    </row>
    <row r="94" spans="2:5" ht="15">
      <c r="B94" s="15" t="s">
        <v>479</v>
      </c>
      <c r="E94" s="17">
        <f>+'magazzini prodotti'!E24</f>
        <v>1420</v>
      </c>
    </row>
    <row r="95" spans="2:5" ht="15">
      <c r="B95" s="15" t="s">
        <v>471</v>
      </c>
      <c r="E95" s="17">
        <f>+E94/E93</f>
        <v>107.82080485952923</v>
      </c>
    </row>
    <row r="96" spans="2:5" ht="15">
      <c r="B96" s="15" t="s">
        <v>477</v>
      </c>
      <c r="E96" s="17">
        <f>+'magazzini prodotti'!F24</f>
        <v>2.5822844954474324</v>
      </c>
    </row>
    <row r="97" spans="2:5" ht="15">
      <c r="B97" s="15" t="s">
        <v>478</v>
      </c>
      <c r="E97" s="17">
        <f>+E96*E94</f>
        <v>3666.8439835353543</v>
      </c>
    </row>
    <row r="98" spans="2:5" ht="15">
      <c r="B98" s="15" t="s">
        <v>482</v>
      </c>
      <c r="E98" s="28">
        <f>+I8</f>
        <v>0.11049584696702741</v>
      </c>
    </row>
    <row r="99" spans="2:5" ht="15">
      <c r="B99" s="15" t="s">
        <v>483</v>
      </c>
      <c r="E99" s="28">
        <f>+G8</f>
        <v>0.008635287596235415</v>
      </c>
    </row>
    <row r="100" spans="2:5" ht="15">
      <c r="B100" s="15" t="s">
        <v>484</v>
      </c>
      <c r="E100" s="28">
        <f>+H8</f>
        <v>0.006507690761645929</v>
      </c>
    </row>
    <row r="101" ht="15">
      <c r="F101" s="16"/>
    </row>
    <row r="102" spans="1:6" ht="15">
      <c r="A102" s="23"/>
      <c r="B102" s="24" t="s">
        <v>489</v>
      </c>
      <c r="C102" s="24" t="s">
        <v>487</v>
      </c>
      <c r="D102" s="24" t="s">
        <v>467</v>
      </c>
      <c r="E102" s="215" t="s">
        <v>469</v>
      </c>
      <c r="F102" s="215"/>
    </row>
    <row r="103" spans="1:6" ht="15">
      <c r="A103" s="25"/>
      <c r="B103" s="25"/>
      <c r="C103" s="26" t="s">
        <v>488</v>
      </c>
      <c r="D103" s="26" t="s">
        <v>468</v>
      </c>
      <c r="E103" s="26" t="s">
        <v>480</v>
      </c>
      <c r="F103" s="26" t="s">
        <v>481</v>
      </c>
    </row>
    <row r="104" spans="1:6" ht="15">
      <c r="A104" s="15" t="s">
        <v>473</v>
      </c>
      <c r="B104" s="38">
        <f>SUM(B105:B106)</f>
        <v>1423.1432740587538</v>
      </c>
      <c r="C104" s="29">
        <v>1</v>
      </c>
      <c r="D104" s="38">
        <f>SUM(D105:D106)</f>
        <v>1423.1432740587538</v>
      </c>
      <c r="E104" s="38">
        <f>+D104/E93</f>
        <v>108.05947411228199</v>
      </c>
      <c r="F104" s="38">
        <f>+D104/E94</f>
        <v>1.0022135732808126</v>
      </c>
    </row>
    <row r="105" spans="1:6" ht="15">
      <c r="A105" s="20" t="s">
        <v>419</v>
      </c>
      <c r="B105" s="67">
        <f>+'spese colture'!G12</f>
        <v>287.52459416385034</v>
      </c>
      <c r="C105" s="30">
        <v>1</v>
      </c>
      <c r="D105" s="67">
        <f>+B105*C105</f>
        <v>287.52459416385034</v>
      </c>
      <c r="E105" s="67">
        <f>+D105/E93</f>
        <v>21.831783915250597</v>
      </c>
      <c r="F105" s="67">
        <f>+D105/E94</f>
        <v>0.20248210856609178</v>
      </c>
    </row>
    <row r="106" spans="1:6" ht="15">
      <c r="A106" s="20" t="s">
        <v>472</v>
      </c>
      <c r="B106" s="67">
        <f>+'spese colture'!K13</f>
        <v>1135.6186798949036</v>
      </c>
      <c r="C106" s="30">
        <v>1</v>
      </c>
      <c r="D106" s="67">
        <f>+B106*C106</f>
        <v>1135.6186798949036</v>
      </c>
      <c r="E106" s="67">
        <f>+D106/E93</f>
        <v>86.22769019703141</v>
      </c>
      <c r="F106" s="67">
        <f>+D106/E94</f>
        <v>0.7997314647147209</v>
      </c>
    </row>
    <row r="107" spans="1:6" ht="15">
      <c r="A107" s="15" t="s">
        <v>474</v>
      </c>
      <c r="B107" s="17">
        <f>+B108</f>
        <v>0</v>
      </c>
      <c r="C107" s="29">
        <v>1</v>
      </c>
      <c r="D107" s="17">
        <f>+B107*C107</f>
        <v>0</v>
      </c>
      <c r="E107" s="17">
        <f>+D107/E93</f>
        <v>0</v>
      </c>
      <c r="F107" s="17">
        <f>+D107/E94</f>
        <v>0</v>
      </c>
    </row>
    <row r="108" spans="1:6" ht="15">
      <c r="A108" s="20" t="s">
        <v>476</v>
      </c>
      <c r="B108" s="67">
        <f>+'spese colture'!S17</f>
        <v>0</v>
      </c>
      <c r="C108" s="30">
        <v>1</v>
      </c>
      <c r="D108" s="67">
        <f>+B108*C108</f>
        <v>0</v>
      </c>
      <c r="E108" s="67">
        <f>+D108/E93</f>
        <v>0</v>
      </c>
      <c r="F108" s="67">
        <f>+D108/E94</f>
        <v>0</v>
      </c>
    </row>
    <row r="109" spans="1:6" ht="15.75">
      <c r="A109" s="27" t="s">
        <v>475</v>
      </c>
      <c r="B109" s="68">
        <f>+B104+B107</f>
        <v>1423.1432740587538</v>
      </c>
      <c r="C109" s="31">
        <v>1</v>
      </c>
      <c r="D109" s="68">
        <f>+D104+D107</f>
        <v>1423.1432740587538</v>
      </c>
      <c r="E109" s="68">
        <f>+D109/E93</f>
        <v>108.05947411228199</v>
      </c>
      <c r="F109" s="68">
        <f>+D109/E94</f>
        <v>1.0022135732808126</v>
      </c>
    </row>
    <row r="110" spans="1:6" ht="15">
      <c r="A110" s="32" t="s">
        <v>499</v>
      </c>
      <c r="B110" s="70">
        <f>SUM(B111:B121)</f>
        <v>126149.08421207202</v>
      </c>
      <c r="C110" s="33"/>
      <c r="D110" s="70">
        <f>SUM(D111:D121)</f>
        <v>6670.714630069178</v>
      </c>
      <c r="E110" s="70">
        <f>+D110/E93</f>
        <v>506.50832422696874</v>
      </c>
      <c r="F110" s="70">
        <f>+D110/E94</f>
        <v>4.697686359203646</v>
      </c>
    </row>
    <row r="111" spans="1:6" ht="15">
      <c r="A111" s="20" t="s">
        <v>486</v>
      </c>
      <c r="B111" s="71">
        <f>+B16</f>
        <v>9452.530643298713</v>
      </c>
      <c r="C111" s="34">
        <f>+E98</f>
        <v>0.11049584696702741</v>
      </c>
      <c r="D111" s="67">
        <f aca="true" t="shared" si="8" ref="D111:D121">+B111*C111</f>
        <v>1044.4653794130718</v>
      </c>
      <c r="E111" s="67">
        <f>+D111/E93</f>
        <v>79.30640694100772</v>
      </c>
      <c r="F111" s="67">
        <f>+D111/E94</f>
        <v>0.7355389995866702</v>
      </c>
    </row>
    <row r="112" spans="1:6" ht="15">
      <c r="A112" s="20" t="s">
        <v>490</v>
      </c>
      <c r="B112" s="71">
        <f>+B17</f>
        <v>6960.847402480027</v>
      </c>
      <c r="C112" s="34">
        <f>+E99</f>
        <v>0.008635287596235415</v>
      </c>
      <c r="D112" s="67">
        <f t="shared" si="8"/>
        <v>60.10891923392329</v>
      </c>
      <c r="E112" s="67">
        <f>+D112/E93</f>
        <v>4.564078909181723</v>
      </c>
      <c r="F112" s="67">
        <f>+D112/E94</f>
        <v>0.04233022481262203</v>
      </c>
    </row>
    <row r="113" spans="1:6" ht="15">
      <c r="A113" s="20" t="s">
        <v>491</v>
      </c>
      <c r="B113" s="71">
        <f>+B19</f>
        <v>20914</v>
      </c>
      <c r="C113" s="34">
        <f>+E98</f>
        <v>0.11049584696702741</v>
      </c>
      <c r="D113" s="67">
        <f t="shared" si="8"/>
        <v>2310.910143468411</v>
      </c>
      <c r="E113" s="67">
        <f>+D113/E93</f>
        <v>175.46774058226356</v>
      </c>
      <c r="F113" s="67">
        <f>+D113/E94</f>
        <v>1.6274015094847967</v>
      </c>
    </row>
    <row r="114" spans="1:6" ht="15">
      <c r="A114" s="20" t="s">
        <v>492</v>
      </c>
      <c r="B114" s="71">
        <f>+B21</f>
        <v>3330</v>
      </c>
      <c r="C114" s="34">
        <f>+C112</f>
        <v>0.008635287596235415</v>
      </c>
      <c r="D114" s="67">
        <f t="shared" si="8"/>
        <v>28.755507695463933</v>
      </c>
      <c r="E114" s="67">
        <f>+D114/E93</f>
        <v>2.1834098477952875</v>
      </c>
      <c r="F114" s="67">
        <f>+D114/E94</f>
        <v>0.020250357532016854</v>
      </c>
    </row>
    <row r="115" spans="1:6" ht="15">
      <c r="A115" s="20" t="s">
        <v>493</v>
      </c>
      <c r="B115" s="71">
        <f>+B23</f>
        <v>3294.317782746871</v>
      </c>
      <c r="C115" s="34">
        <f>+E98</f>
        <v>0.11049584696702741</v>
      </c>
      <c r="D115" s="67">
        <f t="shared" si="8"/>
        <v>364.00843358315535</v>
      </c>
      <c r="E115" s="67">
        <f>+D115/E93</f>
        <v>27.63921287647345</v>
      </c>
      <c r="F115" s="67">
        <f>+D115/E94</f>
        <v>0.25634396731208126</v>
      </c>
    </row>
    <row r="116" spans="1:6" ht="15">
      <c r="A116" s="20" t="s">
        <v>494</v>
      </c>
      <c r="B116" s="71">
        <f aca="true" t="shared" si="9" ref="B116:B121">+B25</f>
        <v>3789.3062434474537</v>
      </c>
      <c r="C116" s="34">
        <f>+C114</f>
        <v>0.008635287596235415</v>
      </c>
      <c r="D116" s="67">
        <f t="shared" si="8"/>
        <v>32.721749202379215</v>
      </c>
      <c r="E116" s="67">
        <f>+D116/E93</f>
        <v>2.4845671376142153</v>
      </c>
      <c r="F116" s="67">
        <f>+D116/E94</f>
        <v>0.02304348535378818</v>
      </c>
    </row>
    <row r="117" spans="1:6" ht="15">
      <c r="A117" s="20" t="s">
        <v>495</v>
      </c>
      <c r="B117" s="71">
        <f t="shared" si="9"/>
        <v>1330.3929720545173</v>
      </c>
      <c r="C117" s="34">
        <f>+C116</f>
        <v>0.008635287596235415</v>
      </c>
      <c r="D117" s="67">
        <f t="shared" si="8"/>
        <v>11.488325929701142</v>
      </c>
      <c r="E117" s="67">
        <f>+D117/E93</f>
        <v>0.8723102452316737</v>
      </c>
      <c r="F117" s="67">
        <f>+D117/E94</f>
        <v>0.008090370373028974</v>
      </c>
    </row>
    <row r="118" spans="1:6" ht="15">
      <c r="A118" s="20" t="s">
        <v>451</v>
      </c>
      <c r="B118" s="71">
        <f t="shared" si="9"/>
        <v>14224.002505055754</v>
      </c>
      <c r="C118" s="34">
        <f>+C115</f>
        <v>0.11049584696702741</v>
      </c>
      <c r="D118" s="67">
        <f t="shared" si="8"/>
        <v>1571.6932040572551</v>
      </c>
      <c r="E118" s="67">
        <f>+D118/E93</f>
        <v>119.33889172796167</v>
      </c>
      <c r="F118" s="67">
        <f>+D118/E94</f>
        <v>1.1068262000403204</v>
      </c>
    </row>
    <row r="119" spans="1:6" ht="15">
      <c r="A119" s="20" t="s">
        <v>496</v>
      </c>
      <c r="B119" s="71">
        <f t="shared" si="9"/>
        <v>52133.844969968035</v>
      </c>
      <c r="C119" s="34">
        <f>+C117</f>
        <v>0.008635287596235415</v>
      </c>
      <c r="D119" s="67">
        <f t="shared" si="8"/>
        <v>450.1907448132251</v>
      </c>
      <c r="E119" s="67">
        <f>+D119/E93</f>
        <v>34.18304820145976</v>
      </c>
      <c r="F119" s="67">
        <f>+D119/E94</f>
        <v>0.3170357357839613</v>
      </c>
    </row>
    <row r="120" spans="1:6" ht="15">
      <c r="A120" s="20" t="s">
        <v>497</v>
      </c>
      <c r="B120" s="71">
        <f t="shared" si="9"/>
        <v>3512.5823748470552</v>
      </c>
      <c r="C120" s="34">
        <v>0</v>
      </c>
      <c r="D120" s="67">
        <f t="shared" si="8"/>
        <v>0</v>
      </c>
      <c r="E120" s="67">
        <f>+D120/E93</f>
        <v>0</v>
      </c>
      <c r="F120" s="67">
        <f>+D120/E94</f>
        <v>0</v>
      </c>
    </row>
    <row r="121" spans="1:6" ht="15">
      <c r="A121" s="20" t="s">
        <v>498</v>
      </c>
      <c r="B121" s="71">
        <f t="shared" si="9"/>
        <v>7207.259318173602</v>
      </c>
      <c r="C121" s="34">
        <f>+C118</f>
        <v>0.11049584696702741</v>
      </c>
      <c r="D121" s="67">
        <f t="shared" si="8"/>
        <v>796.3722226725927</v>
      </c>
      <c r="E121" s="67">
        <f>+D121/E93</f>
        <v>60.4686577579797</v>
      </c>
      <c r="F121" s="67">
        <f>+D121/E94</f>
        <v>0.560825508924361</v>
      </c>
    </row>
    <row r="122" spans="1:6" ht="15">
      <c r="A122" s="32" t="s">
        <v>500</v>
      </c>
      <c r="B122" s="38">
        <f>SUM(B123:B126)</f>
        <v>53172.23411661124</v>
      </c>
      <c r="D122" s="38">
        <f>+D123+D126</f>
        <v>720.7239688971197</v>
      </c>
      <c r="E122" s="38">
        <f>+D122/E93</f>
        <v>54.72467493524067</v>
      </c>
      <c r="F122" s="38">
        <f>+D122/E94</f>
        <v>0.5075520907726195</v>
      </c>
    </row>
    <row r="123" spans="1:6" ht="15">
      <c r="A123" s="20" t="s">
        <v>501</v>
      </c>
      <c r="B123" s="71">
        <f>+B31</f>
        <v>34826.90076138912</v>
      </c>
      <c r="C123" s="34">
        <f>+C119</f>
        <v>0.008635287596235415</v>
      </c>
      <c r="D123" s="67">
        <f>+B123*C123</f>
        <v>300.74030416014523</v>
      </c>
      <c r="E123" s="67">
        <f>+D123/E93</f>
        <v>22.835254681863724</v>
      </c>
      <c r="F123" s="67">
        <f>+D123/E94</f>
        <v>0.21178894659165157</v>
      </c>
    </row>
    <row r="124" spans="1:6" ht="15">
      <c r="A124" s="20" t="s">
        <v>604</v>
      </c>
      <c r="B124" s="71">
        <f>+B32</f>
        <v>11072</v>
      </c>
      <c r="C124" s="28">
        <f>+E98</f>
        <v>0.11049584696702741</v>
      </c>
      <c r="D124" s="67">
        <f>+B124*C124</f>
        <v>1223.4100176189274</v>
      </c>
      <c r="E124" s="67">
        <f>+D124/E93</f>
        <v>92.89369913583351</v>
      </c>
      <c r="F124" s="67">
        <f>+D124/E94</f>
        <v>0.8615563504358644</v>
      </c>
    </row>
    <row r="125" spans="1:6" ht="15">
      <c r="A125" s="20" t="s">
        <v>605</v>
      </c>
      <c r="B125" s="71">
        <f>+B35</f>
        <v>3472.4333552221124</v>
      </c>
      <c r="C125" s="28">
        <f>+E99</f>
        <v>0.008635287596235415</v>
      </c>
      <c r="D125" s="67">
        <f>+B125*C125</f>
        <v>29.985460681103632</v>
      </c>
      <c r="E125" s="67">
        <f>+D125/E93</f>
        <v>2.2768003554368743</v>
      </c>
      <c r="F125" s="67">
        <f>+D125/E94</f>
        <v>0.021116521606411007</v>
      </c>
    </row>
    <row r="126" spans="1:6" ht="15">
      <c r="A126" s="20" t="s">
        <v>502</v>
      </c>
      <c r="B126" s="71">
        <f>+B36</f>
        <v>3800.9</v>
      </c>
      <c r="C126" s="34">
        <f>+C121</f>
        <v>0.11049584696702741</v>
      </c>
      <c r="D126" s="67">
        <f>+B126*C126</f>
        <v>419.9836647369745</v>
      </c>
      <c r="E126" s="67">
        <f>+D126/E93</f>
        <v>31.889420253376954</v>
      </c>
      <c r="F126" s="67">
        <f>+D126/E94</f>
        <v>0.29576314418096794</v>
      </c>
    </row>
    <row r="127" spans="1:6" ht="15.75">
      <c r="A127" s="27" t="s">
        <v>503</v>
      </c>
      <c r="B127" s="68">
        <f>+B110+B122</f>
        <v>179321.31832868326</v>
      </c>
      <c r="C127" s="31"/>
      <c r="D127" s="68">
        <f>+D110+D122</f>
        <v>7391.438598966298</v>
      </c>
      <c r="E127" s="68">
        <f>+D127/E93</f>
        <v>561.2329991622094</v>
      </c>
      <c r="F127" s="68">
        <f>+D127/E94</f>
        <v>5.2052384499762665</v>
      </c>
    </row>
    <row r="128" spans="1:6" ht="15.75">
      <c r="A128" s="35" t="s">
        <v>504</v>
      </c>
      <c r="B128" s="35"/>
      <c r="C128" s="35"/>
      <c r="D128" s="72">
        <f>+D127+D109</f>
        <v>8814.581873025052</v>
      </c>
      <c r="E128" s="72">
        <f>+D128/E93</f>
        <v>669.2924732744914</v>
      </c>
      <c r="F128" s="72">
        <f>+D128/E94</f>
        <v>6.207452023257079</v>
      </c>
    </row>
    <row r="129" spans="1:6" ht="15.75">
      <c r="A129" s="21" t="s">
        <v>506</v>
      </c>
      <c r="D129" s="73">
        <f>+D130+D131</f>
        <v>3666.8439835353543</v>
      </c>
      <c r="E129" s="73">
        <f>+D129/E93</f>
        <v>278.42399267542555</v>
      </c>
      <c r="F129" s="73">
        <f>+D129/E94</f>
        <v>2.5822844954474324</v>
      </c>
    </row>
    <row r="130" spans="1:6" ht="15">
      <c r="A130" s="15" t="s">
        <v>507</v>
      </c>
      <c r="D130" s="17">
        <f>+E97</f>
        <v>3666.8439835353543</v>
      </c>
      <c r="E130" s="17">
        <f>+D130/E93</f>
        <v>278.42399267542555</v>
      </c>
      <c r="F130" s="17">
        <f>+D130/E94</f>
        <v>2.5822844954474324</v>
      </c>
    </row>
    <row r="131" spans="1:6" ht="15">
      <c r="A131" s="25" t="s">
        <v>505</v>
      </c>
      <c r="B131" s="25"/>
      <c r="C131" s="25"/>
      <c r="D131" s="75">
        <v>0</v>
      </c>
      <c r="E131" s="75">
        <f>+D131/E93</f>
        <v>0</v>
      </c>
      <c r="F131" s="75">
        <f>+D131/E94</f>
        <v>0</v>
      </c>
    </row>
    <row r="132" spans="1:6" ht="15">
      <c r="A132" s="15" t="s">
        <v>516</v>
      </c>
      <c r="D132" s="38">
        <f>+D129-D109</f>
        <v>2243.7007094766004</v>
      </c>
      <c r="E132" s="38">
        <f>+D132/E93</f>
        <v>170.36451856314355</v>
      </c>
      <c r="F132" s="38">
        <f>+D132/E94</f>
        <v>1.58007092216662</v>
      </c>
    </row>
    <row r="133" spans="1:6" ht="15">
      <c r="A133" s="25" t="s">
        <v>517</v>
      </c>
      <c r="B133" s="25"/>
      <c r="C133" s="25"/>
      <c r="D133" s="74">
        <f>+D129-D128</f>
        <v>-5147.737889489697</v>
      </c>
      <c r="E133" s="74">
        <f>+D133/E93</f>
        <v>-390.8684805990659</v>
      </c>
      <c r="F133" s="74">
        <f>+D133/E94</f>
        <v>-3.625167527809646</v>
      </c>
    </row>
    <row r="135" spans="1:3" ht="15.75">
      <c r="A135" s="21" t="s">
        <v>521</v>
      </c>
      <c r="B135" s="21"/>
      <c r="C135" s="21"/>
    </row>
    <row r="136" spans="2:6" ht="15">
      <c r="B136" s="15" t="s">
        <v>470</v>
      </c>
      <c r="E136" s="36">
        <v>18.8</v>
      </c>
      <c r="F136" s="38">
        <f>+E136</f>
        <v>18.8</v>
      </c>
    </row>
    <row r="137" spans="2:5" ht="15">
      <c r="B137" s="15" t="s">
        <v>479</v>
      </c>
      <c r="E137" s="17">
        <f>+'magazzini prodotti'!E42</f>
        <v>1881</v>
      </c>
    </row>
    <row r="138" spans="2:5" ht="15">
      <c r="B138" s="15" t="s">
        <v>471</v>
      </c>
      <c r="E138" s="17">
        <f>+E137/E136</f>
        <v>100.0531914893617</v>
      </c>
    </row>
    <row r="139" spans="2:5" ht="15">
      <c r="B139" s="15" t="s">
        <v>477</v>
      </c>
      <c r="E139" s="17">
        <f>+'magazzini prodotti'!F42</f>
        <v>8.5</v>
      </c>
    </row>
    <row r="140" spans="2:5" ht="15">
      <c r="B140" s="15" t="s">
        <v>478</v>
      </c>
      <c r="E140" s="17">
        <f>+E139*E137</f>
        <v>15988.5</v>
      </c>
    </row>
    <row r="141" spans="2:5" ht="15">
      <c r="B141" s="15" t="s">
        <v>482</v>
      </c>
      <c r="E141" s="28">
        <f>+I9</f>
        <v>0.47319405990435437</v>
      </c>
    </row>
    <row r="142" spans="2:5" ht="15">
      <c r="B142" s="15" t="s">
        <v>483</v>
      </c>
      <c r="E142" s="28">
        <f>+G9</f>
        <v>0.037652350727858226</v>
      </c>
    </row>
    <row r="143" spans="2:5" ht="15">
      <c r="B143" s="15" t="s">
        <v>484</v>
      </c>
      <c r="E143" s="28">
        <f>+H9</f>
        <v>0.014570845644810987</v>
      </c>
    </row>
    <row r="144" ht="15">
      <c r="F144" s="16"/>
    </row>
    <row r="145" spans="1:6" ht="15">
      <c r="A145" s="23"/>
      <c r="B145" s="24" t="s">
        <v>489</v>
      </c>
      <c r="C145" s="24" t="s">
        <v>487</v>
      </c>
      <c r="D145" s="24" t="s">
        <v>467</v>
      </c>
      <c r="E145" s="215" t="s">
        <v>469</v>
      </c>
      <c r="F145" s="215"/>
    </row>
    <row r="146" spans="1:6" ht="15">
      <c r="A146" s="25"/>
      <c r="B146" s="25"/>
      <c r="C146" s="26" t="s">
        <v>488</v>
      </c>
      <c r="D146" s="26" t="s">
        <v>468</v>
      </c>
      <c r="E146" s="26" t="s">
        <v>480</v>
      </c>
      <c r="F146" s="26" t="s">
        <v>481</v>
      </c>
    </row>
    <row r="147" spans="1:6" ht="15">
      <c r="A147" s="15" t="s">
        <v>473</v>
      </c>
      <c r="B147" s="38">
        <f>SUM(B148:B149)</f>
        <v>1536.4453515483856</v>
      </c>
      <c r="C147" s="29">
        <v>1</v>
      </c>
      <c r="D147" s="38">
        <f>SUM(D148:D149)</f>
        <v>1536.4453515483856</v>
      </c>
      <c r="E147" s="38">
        <f>+D147/E136</f>
        <v>81.72581657172263</v>
      </c>
      <c r="F147" s="38">
        <f>+D147/E137</f>
        <v>0.8168236850336978</v>
      </c>
    </row>
    <row r="148" spans="1:6" ht="15">
      <c r="A148" s="20" t="s">
        <v>421</v>
      </c>
      <c r="B148" s="67">
        <f>+'spese colture'!H27</f>
        <v>1033.8294973544973</v>
      </c>
      <c r="C148" s="30">
        <v>1</v>
      </c>
      <c r="D148" s="67">
        <f>+B148*C148</f>
        <v>1033.8294973544973</v>
      </c>
      <c r="E148" s="67">
        <f>+D148/E136</f>
        <v>54.9909307103456</v>
      </c>
      <c r="F148" s="67">
        <f>+D148/E137</f>
        <v>0.5496169576578933</v>
      </c>
    </row>
    <row r="149" spans="1:6" ht="15">
      <c r="A149" s="20" t="s">
        <v>420</v>
      </c>
      <c r="B149" s="67">
        <f>+'spese colture'!P27</f>
        <v>502.61585419388825</v>
      </c>
      <c r="C149" s="30">
        <v>1</v>
      </c>
      <c r="D149" s="67">
        <f>+B149*C149</f>
        <v>502.61585419388825</v>
      </c>
      <c r="E149" s="67">
        <f>+D149/E136</f>
        <v>26.734885861377034</v>
      </c>
      <c r="F149" s="67">
        <f>+D149/E137</f>
        <v>0.2672067273758045</v>
      </c>
    </row>
    <row r="150" spans="1:6" ht="15">
      <c r="A150" s="15" t="s">
        <v>474</v>
      </c>
      <c r="B150" s="17">
        <f>+B151</f>
        <v>1650</v>
      </c>
      <c r="C150" s="29">
        <v>1</v>
      </c>
      <c r="D150" s="17">
        <f>+B150*C150</f>
        <v>1650</v>
      </c>
      <c r="E150" s="17">
        <f>+D150/E136</f>
        <v>87.76595744680851</v>
      </c>
      <c r="F150" s="17">
        <f>+D150/E137</f>
        <v>0.8771929824561403</v>
      </c>
    </row>
    <row r="151" spans="1:6" ht="15">
      <c r="A151" s="20" t="s">
        <v>476</v>
      </c>
      <c r="B151" s="67">
        <f>+'spese colture'!S27</f>
        <v>1650</v>
      </c>
      <c r="C151" s="30">
        <v>1</v>
      </c>
      <c r="D151" s="67">
        <f>+B151*C151</f>
        <v>1650</v>
      </c>
      <c r="E151" s="67">
        <f>+D151/E136</f>
        <v>87.76595744680851</v>
      </c>
      <c r="F151" s="67">
        <f>+D151/E137</f>
        <v>0.8771929824561403</v>
      </c>
    </row>
    <row r="152" spans="1:6" ht="15.75">
      <c r="A152" s="27" t="s">
        <v>475</v>
      </c>
      <c r="B152" s="68">
        <f>+B147+B150</f>
        <v>3186.4453515483856</v>
      </c>
      <c r="C152" s="31">
        <v>1</v>
      </c>
      <c r="D152" s="68">
        <f>+D147+D150</f>
        <v>3186.4453515483856</v>
      </c>
      <c r="E152" s="68">
        <f>+D152/E136</f>
        <v>169.49177401853115</v>
      </c>
      <c r="F152" s="68">
        <f>+D152/E137</f>
        <v>1.6940166674898383</v>
      </c>
    </row>
    <row r="153" spans="1:6" ht="15">
      <c r="A153" s="32" t="s">
        <v>499</v>
      </c>
      <c r="B153" s="70">
        <f>SUM(B154:B164)</f>
        <v>126149.08421207202</v>
      </c>
      <c r="C153" s="33"/>
      <c r="D153" s="70">
        <f>SUM(D154:D164)</f>
        <v>28612.464439321993</v>
      </c>
      <c r="E153" s="70">
        <f>+D153/E136</f>
        <v>1521.939597836276</v>
      </c>
      <c r="F153" s="70">
        <f>+D153/E137</f>
        <v>15.21130485875704</v>
      </c>
    </row>
    <row r="154" spans="1:6" ht="15">
      <c r="A154" s="20" t="s">
        <v>486</v>
      </c>
      <c r="B154" s="71">
        <f>+B16</f>
        <v>9452.530643298713</v>
      </c>
      <c r="C154" s="34">
        <f>+E141</f>
        <v>0.47319405990435437</v>
      </c>
      <c r="D154" s="67">
        <f aca="true" t="shared" si="10" ref="D154:D164">+B154*C154</f>
        <v>4472.881351472836</v>
      </c>
      <c r="E154" s="67">
        <f>+D154/E136</f>
        <v>237.9192208230232</v>
      </c>
      <c r="F154" s="67">
        <f>+D154/E137</f>
        <v>2.3779273532550964</v>
      </c>
    </row>
    <row r="155" spans="1:6" ht="15">
      <c r="A155" s="20" t="s">
        <v>490</v>
      </c>
      <c r="B155" s="71">
        <f>+B17</f>
        <v>6960.847402480027</v>
      </c>
      <c r="C155" s="34">
        <f>+E142</f>
        <v>0.037652350727858226</v>
      </c>
      <c r="D155" s="67">
        <f t="shared" si="10"/>
        <v>262.0922677612789</v>
      </c>
      <c r="E155" s="67">
        <f>+D155/E136</f>
        <v>13.941078072408452</v>
      </c>
      <c r="F155" s="67">
        <f>+D155/E137</f>
        <v>0.13933666547649065</v>
      </c>
    </row>
    <row r="156" spans="1:6" ht="15">
      <c r="A156" s="20" t="s">
        <v>491</v>
      </c>
      <c r="B156" s="71">
        <f>+B19</f>
        <v>20914</v>
      </c>
      <c r="C156" s="34">
        <f>+E141</f>
        <v>0.47319405990435437</v>
      </c>
      <c r="D156" s="67">
        <f t="shared" si="10"/>
        <v>9896.380568839668</v>
      </c>
      <c r="E156" s="67">
        <f>+D156/E136</f>
        <v>526.4032217467908</v>
      </c>
      <c r="F156" s="67">
        <f>+D156/E137</f>
        <v>5.261233688909978</v>
      </c>
    </row>
    <row r="157" spans="1:6" ht="15">
      <c r="A157" s="20" t="s">
        <v>492</v>
      </c>
      <c r="B157" s="71">
        <f>+B21</f>
        <v>3330</v>
      </c>
      <c r="C157" s="34">
        <f>+C155</f>
        <v>0.037652350727858226</v>
      </c>
      <c r="D157" s="67">
        <f t="shared" si="10"/>
        <v>125.38232792376789</v>
      </c>
      <c r="E157" s="67">
        <f>+D157/E136</f>
        <v>6.669272761902547</v>
      </c>
      <c r="F157" s="67">
        <f>+D157/E137</f>
        <v>0.06665727162348106</v>
      </c>
    </row>
    <row r="158" spans="1:6" ht="15">
      <c r="A158" s="20" t="s">
        <v>493</v>
      </c>
      <c r="B158" s="71">
        <f>+B23</f>
        <v>3294.317782746871</v>
      </c>
      <c r="C158" s="34">
        <f>+E141</f>
        <v>0.47319405990435437</v>
      </c>
      <c r="D158" s="67">
        <f t="shared" si="10"/>
        <v>1558.8516062331028</v>
      </c>
      <c r="E158" s="67">
        <f>+D158/E136</f>
        <v>82.91763862942035</v>
      </c>
      <c r="F158" s="67">
        <f>+D158/E137</f>
        <v>0.8287355695019153</v>
      </c>
    </row>
    <row r="159" spans="1:6" ht="15">
      <c r="A159" s="20" t="s">
        <v>494</v>
      </c>
      <c r="B159" s="71">
        <f aca="true" t="shared" si="11" ref="B159:B164">+B25</f>
        <v>3789.3062434474537</v>
      </c>
      <c r="C159" s="34">
        <f>+C157</f>
        <v>0.037652350727858226</v>
      </c>
      <c r="D159" s="67">
        <f t="shared" si="10"/>
        <v>142.67628769354644</v>
      </c>
      <c r="E159" s="67">
        <f>+D159/E136</f>
        <v>7.5891642390184275</v>
      </c>
      <c r="F159" s="67">
        <f>+D159/E137</f>
        <v>0.07585129595616504</v>
      </c>
    </row>
    <row r="160" spans="1:6" ht="15">
      <c r="A160" s="20" t="s">
        <v>495</v>
      </c>
      <c r="B160" s="71">
        <f t="shared" si="11"/>
        <v>1330.3929720545173</v>
      </c>
      <c r="C160" s="34">
        <f>+C159</f>
        <v>0.037652350727858226</v>
      </c>
      <c r="D160" s="67">
        <f t="shared" si="10"/>
        <v>50.09242278967437</v>
      </c>
      <c r="E160" s="67">
        <f>+D160/E136</f>
        <v>2.6644905739188496</v>
      </c>
      <c r="F160" s="67">
        <f>+D160/E137</f>
        <v>0.02663074045171418</v>
      </c>
    </row>
    <row r="161" spans="1:6" ht="15">
      <c r="A161" s="20" t="s">
        <v>451</v>
      </c>
      <c r="B161" s="71">
        <f t="shared" si="11"/>
        <v>14224.002505055754</v>
      </c>
      <c r="C161" s="34">
        <f>+C158</f>
        <v>0.47319405990435437</v>
      </c>
      <c r="D161" s="67">
        <f t="shared" si="10"/>
        <v>6730.7134934570395</v>
      </c>
      <c r="E161" s="67">
        <f>+D161/E136</f>
        <v>358.01667518388507</v>
      </c>
      <c r="F161" s="67">
        <f>+D161/E137</f>
        <v>3.5782634202323442</v>
      </c>
    </row>
    <row r="162" spans="1:6" ht="15">
      <c r="A162" s="20" t="s">
        <v>496</v>
      </c>
      <c r="B162" s="71">
        <f t="shared" si="11"/>
        <v>52133.844969968035</v>
      </c>
      <c r="C162" s="34">
        <f>+C160</f>
        <v>0.037652350727858226</v>
      </c>
      <c r="D162" s="67">
        <f t="shared" si="10"/>
        <v>1962.9618156010238</v>
      </c>
      <c r="E162" s="67">
        <f>+D162/E136</f>
        <v>104.41286253196935</v>
      </c>
      <c r="F162" s="67">
        <f>+D162/E137</f>
        <v>1.0435735330148983</v>
      </c>
    </row>
    <row r="163" spans="1:6" ht="15">
      <c r="A163" s="20" t="s">
        <v>497</v>
      </c>
      <c r="B163" s="71">
        <f t="shared" si="11"/>
        <v>3512.5823748470552</v>
      </c>
      <c r="C163" s="34">
        <v>0</v>
      </c>
      <c r="D163" s="67">
        <f t="shared" si="10"/>
        <v>0</v>
      </c>
      <c r="E163" s="67">
        <f>+D163/E136</f>
        <v>0</v>
      </c>
      <c r="F163" s="67">
        <f>+D163/E137</f>
        <v>0</v>
      </c>
    </row>
    <row r="164" spans="1:6" ht="15">
      <c r="A164" s="20" t="s">
        <v>498</v>
      </c>
      <c r="B164" s="71">
        <f t="shared" si="11"/>
        <v>7207.259318173602</v>
      </c>
      <c r="C164" s="34">
        <f>+C161</f>
        <v>0.47319405990435437</v>
      </c>
      <c r="D164" s="67">
        <f t="shared" si="10"/>
        <v>3410.432297550056</v>
      </c>
      <c r="E164" s="67">
        <f>+D164/E136</f>
        <v>181.40597327393914</v>
      </c>
      <c r="F164" s="67">
        <f>+D164/E137</f>
        <v>1.813095320334958</v>
      </c>
    </row>
    <row r="165" spans="1:6" ht="15">
      <c r="A165" s="32" t="s">
        <v>500</v>
      </c>
      <c r="B165" s="38">
        <f>SUM(B166:B169)</f>
        <v>53172.23411661124</v>
      </c>
      <c r="D165" s="38">
        <f>+D166+D169</f>
        <v>3109.8779845225963</v>
      </c>
      <c r="E165" s="38">
        <f>+D165/E136</f>
        <v>165.41904172992534</v>
      </c>
      <c r="F165" s="38">
        <f>+D165/E137</f>
        <v>1.6533109965564041</v>
      </c>
    </row>
    <row r="166" spans="1:6" ht="15">
      <c r="A166" s="20" t="s">
        <v>501</v>
      </c>
      <c r="B166" s="71">
        <f>+B31</f>
        <v>34826.90076138912</v>
      </c>
      <c r="C166" s="34">
        <f>+C162</f>
        <v>0.037652350727858226</v>
      </c>
      <c r="D166" s="67">
        <f>+B166*C166</f>
        <v>1311.314682232136</v>
      </c>
      <c r="E166" s="67">
        <f>+D166/E136</f>
        <v>69.75078096979446</v>
      </c>
      <c r="F166" s="67">
        <f>+D166/E137</f>
        <v>0.6971369921489293</v>
      </c>
    </row>
    <row r="167" spans="1:6" ht="15">
      <c r="A167" s="20" t="s">
        <v>604</v>
      </c>
      <c r="B167" s="71">
        <f>+B32</f>
        <v>11072</v>
      </c>
      <c r="C167" s="28">
        <f>+E141</f>
        <v>0.47319405990435437</v>
      </c>
      <c r="D167" s="67">
        <f>+B167*C167</f>
        <v>5239.204631261012</v>
      </c>
      <c r="E167" s="67">
        <f>+D167/$E$46</f>
        <v>294.33733883488827</v>
      </c>
      <c r="F167" s="67">
        <f>+D167/E137</f>
        <v>2.7853294158750725</v>
      </c>
    </row>
    <row r="168" spans="1:6" ht="15">
      <c r="A168" s="20" t="s">
        <v>605</v>
      </c>
      <c r="B168" s="71">
        <f>+B35</f>
        <v>3472.4333552221124</v>
      </c>
      <c r="C168" s="28">
        <f>+E142</f>
        <v>0.037652350727858226</v>
      </c>
      <c r="D168" s="67">
        <f>+B168*C168</f>
        <v>130.7452785699365</v>
      </c>
      <c r="E168" s="67">
        <f>+D168/$E$46</f>
        <v>7.345240369097556</v>
      </c>
      <c r="F168" s="67">
        <f>+D168/E137</f>
        <v>0.06950838839443726</v>
      </c>
    </row>
    <row r="169" spans="1:6" ht="15">
      <c r="A169" s="20" t="s">
        <v>502</v>
      </c>
      <c r="B169" s="71">
        <f>+B36</f>
        <v>3800.9</v>
      </c>
      <c r="C169" s="34">
        <f>+C164</f>
        <v>0.47319405990435437</v>
      </c>
      <c r="D169" s="67">
        <f>+B169*C169</f>
        <v>1798.5633022904606</v>
      </c>
      <c r="E169" s="67">
        <f>+D169/E136</f>
        <v>95.66826076013088</v>
      </c>
      <c r="F169" s="67">
        <f>+D169/E137</f>
        <v>0.956174004407475</v>
      </c>
    </row>
    <row r="170" spans="1:6" ht="15.75">
      <c r="A170" s="27" t="s">
        <v>503</v>
      </c>
      <c r="B170" s="68">
        <f>+B153+B165</f>
        <v>179321.31832868326</v>
      </c>
      <c r="C170" s="31"/>
      <c r="D170" s="68">
        <f>+D153+D165</f>
        <v>31722.342423844588</v>
      </c>
      <c r="E170" s="68">
        <f>+D170/E136</f>
        <v>1687.3586395662014</v>
      </c>
      <c r="F170" s="68">
        <f>+D170/E137</f>
        <v>16.864615855313446</v>
      </c>
    </row>
    <row r="171" spans="1:6" ht="15.75">
      <c r="A171" s="35" t="s">
        <v>504</v>
      </c>
      <c r="B171" s="35"/>
      <c r="C171" s="35"/>
      <c r="D171" s="72">
        <f>+D170+D152</f>
        <v>34908.78777539297</v>
      </c>
      <c r="E171" s="72">
        <f>+D171/E136</f>
        <v>1856.8504135847325</v>
      </c>
      <c r="F171" s="72">
        <f>+D171/E137</f>
        <v>18.558632522803283</v>
      </c>
    </row>
    <row r="172" spans="1:6" ht="15.75">
      <c r="A172" s="21" t="s">
        <v>506</v>
      </c>
      <c r="D172" s="73">
        <f>+D173+D174</f>
        <v>15988.5</v>
      </c>
      <c r="E172" s="73">
        <f>+D172/E136</f>
        <v>850.4521276595744</v>
      </c>
      <c r="F172" s="73">
        <f>+D172/E137</f>
        <v>8.5</v>
      </c>
    </row>
    <row r="173" spans="1:6" ht="15">
      <c r="A173" s="15" t="s">
        <v>507</v>
      </c>
      <c r="D173" s="17">
        <f>+E140</f>
        <v>15988.5</v>
      </c>
      <c r="E173" s="17">
        <f>+D173/E136</f>
        <v>850.4521276595744</v>
      </c>
      <c r="F173" s="17">
        <f>+D173/E137</f>
        <v>8.5</v>
      </c>
    </row>
    <row r="174" spans="1:6" ht="15">
      <c r="A174" s="25" t="s">
        <v>505</v>
      </c>
      <c r="B174" s="25"/>
      <c r="C174" s="25"/>
      <c r="D174" s="75">
        <v>0</v>
      </c>
      <c r="E174" s="75">
        <f>+D174/E136</f>
        <v>0</v>
      </c>
      <c r="F174" s="75">
        <f>+D174/E137</f>
        <v>0</v>
      </c>
    </row>
    <row r="175" spans="1:6" ht="15">
      <c r="A175" s="15" t="s">
        <v>516</v>
      </c>
      <c r="D175" s="38">
        <f>+D172-D152</f>
        <v>12802.054648451614</v>
      </c>
      <c r="E175" s="38">
        <f>+D175/E136</f>
        <v>680.9603536410433</v>
      </c>
      <c r="F175" s="38">
        <f>+D175/E137</f>
        <v>6.805983332510162</v>
      </c>
    </row>
    <row r="176" spans="1:6" ht="15">
      <c r="A176" s="25" t="s">
        <v>517</v>
      </c>
      <c r="B176" s="25"/>
      <c r="C176" s="25"/>
      <c r="D176" s="74">
        <f>+D172-D171</f>
        <v>-18920.28777539297</v>
      </c>
      <c r="E176" s="74">
        <f>+D176/E136</f>
        <v>-1006.398285925158</v>
      </c>
      <c r="F176" s="74">
        <f>+D176/E137</f>
        <v>-10.058632522803281</v>
      </c>
    </row>
    <row r="179" spans="1:3" ht="15.75">
      <c r="A179" s="21" t="s">
        <v>512</v>
      </c>
      <c r="B179" s="21"/>
      <c r="C179" s="21"/>
    </row>
    <row r="180" spans="2:6" ht="15">
      <c r="B180" s="15" t="s">
        <v>518</v>
      </c>
      <c r="E180" s="36">
        <v>3.13</v>
      </c>
      <c r="F180" s="15">
        <v>3.13</v>
      </c>
    </row>
    <row r="181" spans="2:5" ht="15">
      <c r="B181" s="15" t="s">
        <v>479</v>
      </c>
      <c r="E181" s="17">
        <f>+'magazzini prodotti'!E33</f>
        <v>356</v>
      </c>
    </row>
    <row r="182" spans="2:5" ht="15">
      <c r="B182" s="15" t="s">
        <v>471</v>
      </c>
      <c r="E182" s="17">
        <f>+E181/E180</f>
        <v>113.73801916932908</v>
      </c>
    </row>
    <row r="183" spans="2:5" ht="15">
      <c r="B183" s="15" t="s">
        <v>477</v>
      </c>
      <c r="E183" s="17">
        <f>+'magazzini prodotti'!F33</f>
        <v>10</v>
      </c>
    </row>
    <row r="184" spans="2:5" ht="15">
      <c r="B184" s="15" t="s">
        <v>478</v>
      </c>
      <c r="E184" s="17">
        <f>+E183*E181</f>
        <v>3560</v>
      </c>
    </row>
    <row r="185" spans="2:5" ht="15">
      <c r="B185" s="15" t="s">
        <v>482</v>
      </c>
      <c r="E185" s="28">
        <f>+I10</f>
        <v>0.07878177699471431</v>
      </c>
    </row>
    <row r="186" spans="2:5" ht="15">
      <c r="B186" s="15" t="s">
        <v>483</v>
      </c>
      <c r="E186" s="28">
        <f>+G10</f>
        <v>0.008383673802493998</v>
      </c>
    </row>
    <row r="187" spans="2:5" ht="15">
      <c r="B187" s="15" t="s">
        <v>484</v>
      </c>
      <c r="E187" s="28">
        <f>+H10</f>
        <v>0.002042952645458784</v>
      </c>
    </row>
    <row r="188" ht="15">
      <c r="F188" s="16"/>
    </row>
    <row r="189" spans="1:6" ht="15">
      <c r="A189" s="23"/>
      <c r="B189" s="24" t="s">
        <v>489</v>
      </c>
      <c r="C189" s="24" t="s">
        <v>487</v>
      </c>
      <c r="D189" s="24" t="s">
        <v>467</v>
      </c>
      <c r="E189" s="215" t="s">
        <v>469</v>
      </c>
      <c r="F189" s="215"/>
    </row>
    <row r="190" spans="1:6" ht="15">
      <c r="A190" s="25"/>
      <c r="B190" s="25"/>
      <c r="C190" s="26" t="s">
        <v>488</v>
      </c>
      <c r="D190" s="26" t="s">
        <v>468</v>
      </c>
      <c r="E190" s="26" t="s">
        <v>480</v>
      </c>
      <c r="F190" s="26" t="s">
        <v>481</v>
      </c>
    </row>
    <row r="191" spans="1:6" ht="15">
      <c r="A191" s="15" t="s">
        <v>473</v>
      </c>
      <c r="B191" s="38">
        <f>SUM(B192:B192)</f>
        <v>206.76589947089948</v>
      </c>
      <c r="C191" s="29">
        <v>1</v>
      </c>
      <c r="D191" s="38">
        <f>SUM(D192:D192)</f>
        <v>206.76589947089948</v>
      </c>
      <c r="E191" s="38">
        <f>+D191/E180</f>
        <v>66.05939280220431</v>
      </c>
      <c r="F191" s="38">
        <f>+D191/E181</f>
        <v>0.580803088401403</v>
      </c>
    </row>
    <row r="192" spans="1:6" ht="15">
      <c r="A192" s="20" t="s">
        <v>421</v>
      </c>
      <c r="B192" s="67">
        <f>+'spese colture'!H20</f>
        <v>206.76589947089948</v>
      </c>
      <c r="C192" s="30">
        <v>1</v>
      </c>
      <c r="D192" s="67">
        <f>+B192*C192</f>
        <v>206.76589947089948</v>
      </c>
      <c r="E192" s="67">
        <f>+D192/E180</f>
        <v>66.05939280220431</v>
      </c>
      <c r="F192" s="67">
        <f>+D192/E181</f>
        <v>0.580803088401403</v>
      </c>
    </row>
    <row r="193" spans="1:6" ht="15">
      <c r="A193" s="15" t="s">
        <v>474</v>
      </c>
      <c r="B193" s="17">
        <f>+B194</f>
        <v>240</v>
      </c>
      <c r="C193" s="29">
        <v>1</v>
      </c>
      <c r="D193" s="17">
        <f>+B193*C193</f>
        <v>240</v>
      </c>
      <c r="E193" s="17">
        <f>+D193/E180</f>
        <v>76.67731629392972</v>
      </c>
      <c r="F193" s="17">
        <f>+D193/E181</f>
        <v>0.6741573033707865</v>
      </c>
    </row>
    <row r="194" spans="1:6" ht="15">
      <c r="A194" s="20" t="s">
        <v>476</v>
      </c>
      <c r="B194" s="67">
        <f>+'spese colture'!S19</f>
        <v>240</v>
      </c>
      <c r="C194" s="30">
        <v>1</v>
      </c>
      <c r="D194" s="67">
        <f>+B194*C194</f>
        <v>240</v>
      </c>
      <c r="E194" s="67">
        <f>+D194/E180</f>
        <v>76.67731629392972</v>
      </c>
      <c r="F194" s="67">
        <f>+D194/E181</f>
        <v>0.6741573033707865</v>
      </c>
    </row>
    <row r="195" spans="1:6" ht="15.75">
      <c r="A195" s="27" t="s">
        <v>475</v>
      </c>
      <c r="B195" s="68">
        <f>+B191+B193</f>
        <v>446.7658994708995</v>
      </c>
      <c r="C195" s="31">
        <v>1</v>
      </c>
      <c r="D195" s="68">
        <f>+D191+D193</f>
        <v>446.7658994708995</v>
      </c>
      <c r="E195" s="68">
        <f>+D195/E180</f>
        <v>142.73670909613404</v>
      </c>
      <c r="F195" s="68">
        <f>+D195/E181</f>
        <v>1.2549603917721897</v>
      </c>
    </row>
    <row r="196" spans="1:6" ht="15">
      <c r="A196" s="32" t="s">
        <v>499</v>
      </c>
      <c r="B196" s="70">
        <f>SUM(B197:B207)</f>
        <v>126149.08421207202</v>
      </c>
      <c r="C196" s="33"/>
      <c r="D196" s="70">
        <f>SUM(D197:D207)</f>
        <v>4906.524490087885</v>
      </c>
      <c r="E196" s="70">
        <f>+D196/E180</f>
        <v>1567.5797092932542</v>
      </c>
      <c r="F196" s="70">
        <f>+D196/E181</f>
        <v>13.782372163168217</v>
      </c>
    </row>
    <row r="197" spans="1:6" ht="15">
      <c r="A197" s="20" t="s">
        <v>486</v>
      </c>
      <c r="B197" s="71">
        <f>+B154</f>
        <v>9452.530643298713</v>
      </c>
      <c r="C197" s="34">
        <f>+E185</f>
        <v>0.07878177699471431</v>
      </c>
      <c r="D197" s="67">
        <f aca="true" t="shared" si="12" ref="D197:D207">+B197*C197</f>
        <v>744.6871611760625</v>
      </c>
      <c r="E197" s="67">
        <f>+D197/E180</f>
        <v>237.91922082302318</v>
      </c>
      <c r="F197" s="67">
        <f>+D197/E181</f>
        <v>2.0918178684720856</v>
      </c>
    </row>
    <row r="198" spans="1:6" ht="15">
      <c r="A198" s="20" t="s">
        <v>490</v>
      </c>
      <c r="B198" s="71">
        <f aca="true" t="shared" si="13" ref="B198:B207">+B155</f>
        <v>6960.847402480027</v>
      </c>
      <c r="C198" s="34">
        <f>+E186</f>
        <v>0.008383673802493998</v>
      </c>
      <c r="D198" s="67">
        <f t="shared" si="12"/>
        <v>58.3574740113302</v>
      </c>
      <c r="E198" s="67">
        <f>+D198/E180</f>
        <v>18.644560387006454</v>
      </c>
      <c r="F198" s="67">
        <f>+D198/E181</f>
        <v>0.16392548879587135</v>
      </c>
    </row>
    <row r="199" spans="1:6" ht="15">
      <c r="A199" s="20" t="s">
        <v>491</v>
      </c>
      <c r="B199" s="71">
        <f t="shared" si="13"/>
        <v>20914</v>
      </c>
      <c r="C199" s="34">
        <f>+E185</f>
        <v>0.07878177699471431</v>
      </c>
      <c r="D199" s="67">
        <f t="shared" si="12"/>
        <v>1647.642084067455</v>
      </c>
      <c r="E199" s="67">
        <f>+D199/E180</f>
        <v>526.4032217467908</v>
      </c>
      <c r="F199" s="67">
        <f>+D199/E181</f>
        <v>4.628208101313076</v>
      </c>
    </row>
    <row r="200" spans="1:6" ht="15">
      <c r="A200" s="20" t="s">
        <v>492</v>
      </c>
      <c r="B200" s="71">
        <f t="shared" si="13"/>
        <v>3330</v>
      </c>
      <c r="C200" s="34">
        <f>+C198</f>
        <v>0.008383673802493998</v>
      </c>
      <c r="D200" s="67">
        <f t="shared" si="12"/>
        <v>27.917633762305012</v>
      </c>
      <c r="E200" s="67">
        <f>+D200/E180</f>
        <v>8.919371809043135</v>
      </c>
      <c r="F200" s="67">
        <f>+D200/E181</f>
        <v>0.07842031955703656</v>
      </c>
    </row>
    <row r="201" spans="1:6" ht="15">
      <c r="A201" s="20" t="s">
        <v>493</v>
      </c>
      <c r="B201" s="71">
        <f t="shared" si="13"/>
        <v>3294.317782746871</v>
      </c>
      <c r="C201" s="34">
        <f>+E185</f>
        <v>0.07878177699471431</v>
      </c>
      <c r="D201" s="67">
        <f t="shared" si="12"/>
        <v>259.5322089100857</v>
      </c>
      <c r="E201" s="67">
        <f>+D201/E180</f>
        <v>82.91763862942037</v>
      </c>
      <c r="F201" s="67">
        <f>+D201/E181</f>
        <v>0.7290230587361959</v>
      </c>
    </row>
    <row r="202" spans="1:6" ht="15">
      <c r="A202" s="20" t="s">
        <v>494</v>
      </c>
      <c r="B202" s="71">
        <f t="shared" si="13"/>
        <v>3789.3062434474537</v>
      </c>
      <c r="C202" s="34">
        <f>+C200</f>
        <v>0.008383673802493998</v>
      </c>
      <c r="D202" s="67">
        <f t="shared" si="12"/>
        <v>31.76830748281736</v>
      </c>
      <c r="E202" s="67">
        <f>+D202/E180</f>
        <v>10.149619004095003</v>
      </c>
      <c r="F202" s="67">
        <f>+D202/E181</f>
        <v>0.08923681877195888</v>
      </c>
    </row>
    <row r="203" spans="1:6" ht="15">
      <c r="A203" s="20" t="s">
        <v>495</v>
      </c>
      <c r="B203" s="71">
        <f t="shared" si="13"/>
        <v>1330.3929720545173</v>
      </c>
      <c r="C203" s="34">
        <f>+C202</f>
        <v>0.008383673802493998</v>
      </c>
      <c r="D203" s="67">
        <f t="shared" si="12"/>
        <v>11.153580706835585</v>
      </c>
      <c r="E203" s="67">
        <f>+D203/E180</f>
        <v>3.563444315282935</v>
      </c>
      <c r="F203" s="67">
        <f>+D203/E181</f>
        <v>0.03133028288436962</v>
      </c>
    </row>
    <row r="204" spans="1:6" ht="15">
      <c r="A204" s="20" t="s">
        <v>451</v>
      </c>
      <c r="B204" s="71">
        <f t="shared" si="13"/>
        <v>14224.002505055754</v>
      </c>
      <c r="C204" s="34">
        <f>+C201</f>
        <v>0.07878177699471431</v>
      </c>
      <c r="D204" s="67">
        <f t="shared" si="12"/>
        <v>1120.5921933255602</v>
      </c>
      <c r="E204" s="67">
        <f>+D204/E180</f>
        <v>358.01667518388507</v>
      </c>
      <c r="F204" s="67">
        <f>+D204/E181</f>
        <v>3.147730880127978</v>
      </c>
    </row>
    <row r="205" spans="1:6" ht="15">
      <c r="A205" s="20" t="s">
        <v>496</v>
      </c>
      <c r="B205" s="71">
        <f t="shared" si="13"/>
        <v>52133.844969968035</v>
      </c>
      <c r="C205" s="34">
        <f>+C203</f>
        <v>0.008383673802493998</v>
      </c>
      <c r="D205" s="67">
        <f t="shared" si="12"/>
        <v>437.0731502980045</v>
      </c>
      <c r="E205" s="67">
        <f>+D205/E180</f>
        <v>139.63998412076822</v>
      </c>
      <c r="F205" s="67">
        <f>+D205/E181</f>
        <v>1.2277335682528216</v>
      </c>
    </row>
    <row r="206" spans="1:6" ht="15">
      <c r="A206" s="20" t="s">
        <v>497</v>
      </c>
      <c r="B206" s="71">
        <f t="shared" si="13"/>
        <v>3512.5823748470552</v>
      </c>
      <c r="C206" s="34">
        <v>0</v>
      </c>
      <c r="D206" s="67">
        <f t="shared" si="12"/>
        <v>0</v>
      </c>
      <c r="E206" s="67">
        <f>+D206/E180</f>
        <v>0</v>
      </c>
      <c r="F206" s="67">
        <f>+D206/E181</f>
        <v>0</v>
      </c>
    </row>
    <row r="207" spans="1:6" ht="15">
      <c r="A207" s="20" t="s">
        <v>498</v>
      </c>
      <c r="B207" s="71">
        <f t="shared" si="13"/>
        <v>7207.259318173602</v>
      </c>
      <c r="C207" s="34">
        <f>+C204</f>
        <v>0.07878177699471431</v>
      </c>
      <c r="D207" s="67">
        <f t="shared" si="12"/>
        <v>567.8006963474294</v>
      </c>
      <c r="E207" s="67">
        <f>+D207/E180</f>
        <v>181.4059732739391</v>
      </c>
      <c r="F207" s="67">
        <f>+D207/E181</f>
        <v>1.5949457762568242</v>
      </c>
    </row>
    <row r="208" spans="1:6" ht="15">
      <c r="A208" s="32" t="s">
        <v>500</v>
      </c>
      <c r="B208" s="38">
        <f>SUM(B209:B212)</f>
        <v>53172.23411661124</v>
      </c>
      <c r="D208" s="38">
        <f>+D209+D212</f>
        <v>591.4190317145259</v>
      </c>
      <c r="E208" s="38">
        <f>+D208/E180</f>
        <v>188.9517673209348</v>
      </c>
      <c r="F208" s="38">
        <f>+D208/E181</f>
        <v>1.6612894149284434</v>
      </c>
    </row>
    <row r="209" spans="1:6" ht="15">
      <c r="A209" s="20" t="s">
        <v>501</v>
      </c>
      <c r="B209" s="71">
        <f>+B166</f>
        <v>34826.90076138912</v>
      </c>
      <c r="C209" s="34">
        <f>+C205</f>
        <v>0.008383673802493998</v>
      </c>
      <c r="D209" s="67">
        <f>+B209*C209</f>
        <v>291.97737553531624</v>
      </c>
      <c r="E209" s="67">
        <f>+D209/E180</f>
        <v>93.28350656080391</v>
      </c>
      <c r="F209" s="67">
        <f>+D209/E181</f>
        <v>0.8201611672340344</v>
      </c>
    </row>
    <row r="210" spans="1:6" ht="15">
      <c r="A210" s="20" t="s">
        <v>604</v>
      </c>
      <c r="B210" s="71">
        <f>+B167</f>
        <v>11072</v>
      </c>
      <c r="C210" s="28">
        <f>+E185</f>
        <v>0.07878177699471431</v>
      </c>
      <c r="D210" s="67">
        <f>+B210*C210</f>
        <v>872.2718348854768</v>
      </c>
      <c r="E210" s="67">
        <f>+D210/$E$46</f>
        <v>49.004035667723414</v>
      </c>
      <c r="F210" s="67">
        <f>+D210/E180</f>
        <v>278.6810974075006</v>
      </c>
    </row>
    <row r="211" spans="1:6" ht="15">
      <c r="A211" s="20" t="s">
        <v>605</v>
      </c>
      <c r="B211" s="71">
        <f>+B168</f>
        <v>3472.4333552221124</v>
      </c>
      <c r="C211" s="28">
        <f>+E186</f>
        <v>0.008383673802493998</v>
      </c>
      <c r="D211" s="67">
        <f>+B211*C211</f>
        <v>29.11174855108196</v>
      </c>
      <c r="E211" s="67">
        <f>+D211/$E$46</f>
        <v>1.635491491633818</v>
      </c>
      <c r="F211" s="67">
        <f>+D211/E180</f>
        <v>9.30087813133609</v>
      </c>
    </row>
    <row r="212" spans="1:6" ht="15">
      <c r="A212" s="20" t="s">
        <v>502</v>
      </c>
      <c r="B212" s="71">
        <f>+B169</f>
        <v>3800.9</v>
      </c>
      <c r="C212" s="34">
        <f>+C207</f>
        <v>0.07878177699471431</v>
      </c>
      <c r="D212" s="67">
        <f>+B212*C212</f>
        <v>299.44165617920964</v>
      </c>
      <c r="E212" s="67">
        <f>+D212/E180</f>
        <v>95.66826076013088</v>
      </c>
      <c r="F212" s="67">
        <f>+D212/E181</f>
        <v>0.8411282476944091</v>
      </c>
    </row>
    <row r="213" spans="1:6" ht="15.75">
      <c r="A213" s="27" t="s">
        <v>503</v>
      </c>
      <c r="B213" s="68">
        <f>+B196+B208</f>
        <v>179321.31832868326</v>
      </c>
      <c r="C213" s="31"/>
      <c r="D213" s="68">
        <f>+D196+D208</f>
        <v>5497.943521802411</v>
      </c>
      <c r="E213" s="68">
        <f>+D213/E180</f>
        <v>1756.531476614189</v>
      </c>
      <c r="F213" s="68">
        <f>+D213/E181</f>
        <v>15.443661578096659</v>
      </c>
    </row>
    <row r="214" spans="1:6" ht="15.75">
      <c r="A214" s="35" t="s">
        <v>504</v>
      </c>
      <c r="B214" s="72"/>
      <c r="C214" s="35"/>
      <c r="D214" s="72">
        <f>+D213+D195</f>
        <v>5944.70942127331</v>
      </c>
      <c r="E214" s="72">
        <f>+D214/E180</f>
        <v>1899.2681857103228</v>
      </c>
      <c r="F214" s="72">
        <f>+D214/E181</f>
        <v>16.69862196986885</v>
      </c>
    </row>
    <row r="215" spans="1:6" ht="15.75">
      <c r="A215" s="21" t="s">
        <v>506</v>
      </c>
      <c r="B215" s="38"/>
      <c r="D215" s="73">
        <f>+D216+D217</f>
        <v>3560</v>
      </c>
      <c r="E215" s="73">
        <f>+D215/E180</f>
        <v>1137.3801916932907</v>
      </c>
      <c r="F215" s="73">
        <f>+D215/E181</f>
        <v>10</v>
      </c>
    </row>
    <row r="216" spans="1:6" ht="15">
      <c r="A216" s="15" t="s">
        <v>507</v>
      </c>
      <c r="B216" s="38"/>
      <c r="D216" s="17">
        <f>+E184</f>
        <v>3560</v>
      </c>
      <c r="E216" s="17">
        <f>+D216/E180</f>
        <v>1137.3801916932907</v>
      </c>
      <c r="F216" s="17">
        <f>+D216/E181</f>
        <v>10</v>
      </c>
    </row>
    <row r="217" spans="1:6" ht="15">
      <c r="A217" s="25" t="s">
        <v>505</v>
      </c>
      <c r="B217" s="74"/>
      <c r="C217" s="25"/>
      <c r="D217" s="75">
        <v>0</v>
      </c>
      <c r="E217" s="75">
        <f>+D217/E180</f>
        <v>0</v>
      </c>
      <c r="F217" s="75">
        <f>+D217/E181</f>
        <v>0</v>
      </c>
    </row>
    <row r="218" spans="1:6" ht="15">
      <c r="A218" s="15" t="s">
        <v>516</v>
      </c>
      <c r="B218" s="38"/>
      <c r="D218" s="38">
        <f>+D215-D195</f>
        <v>3113.2341005291005</v>
      </c>
      <c r="E218" s="38">
        <f>+D218/E180</f>
        <v>994.6434825971568</v>
      </c>
      <c r="F218" s="38">
        <f>+D218/E181</f>
        <v>8.74503960822781</v>
      </c>
    </row>
    <row r="219" spans="1:6" ht="15">
      <c r="A219" s="25" t="s">
        <v>517</v>
      </c>
      <c r="B219" s="74"/>
      <c r="C219" s="25"/>
      <c r="D219" s="74">
        <f>+D215-D214</f>
        <v>-2384.70942127331</v>
      </c>
      <c r="E219" s="74">
        <f>+D219/E180</f>
        <v>-761.8879940170319</v>
      </c>
      <c r="F219" s="74">
        <f>+D219/E181</f>
        <v>-6.6986219698688485</v>
      </c>
    </row>
    <row r="221" spans="1:3" ht="15.75">
      <c r="A221" s="21" t="s">
        <v>526</v>
      </c>
      <c r="B221" s="21"/>
      <c r="C221" s="21"/>
    </row>
    <row r="222" spans="2:6" ht="15">
      <c r="B222" s="15" t="s">
        <v>527</v>
      </c>
      <c r="E222" s="36">
        <v>114.5</v>
      </c>
      <c r="F222" s="38">
        <f>+E222</f>
        <v>114.5</v>
      </c>
    </row>
    <row r="223" spans="2:5" ht="15">
      <c r="B223" s="15" t="s">
        <v>479</v>
      </c>
      <c r="E223" s="17">
        <f>+B4</f>
        <v>9333.69</v>
      </c>
    </row>
    <row r="224" spans="2:5" ht="15">
      <c r="B224" s="15" t="s">
        <v>528</v>
      </c>
      <c r="E224" s="17">
        <f>+E223/E222</f>
        <v>81.51694323144105</v>
      </c>
    </row>
    <row r="225" spans="2:5" ht="15">
      <c r="B225" s="15" t="s">
        <v>477</v>
      </c>
      <c r="E225" s="17">
        <f>+C4</f>
        <v>36.96638244528581</v>
      </c>
    </row>
    <row r="226" spans="2:6" ht="15">
      <c r="B226" s="15" t="s">
        <v>478</v>
      </c>
      <c r="E226" s="17">
        <f>+E225*E223</f>
        <v>345032.75416573975</v>
      </c>
      <c r="F226" s="38"/>
    </row>
    <row r="227" spans="2:5" ht="15">
      <c r="B227" s="15" t="s">
        <v>482</v>
      </c>
      <c r="E227" s="28">
        <v>0</v>
      </c>
    </row>
    <row r="228" spans="2:5" ht="15">
      <c r="B228" s="15" t="s">
        <v>483</v>
      </c>
      <c r="E228" s="28">
        <f>+G4+G5+G6</f>
        <v>0.8844134231892643</v>
      </c>
    </row>
    <row r="229" spans="2:5" ht="15">
      <c r="B229" s="15" t="s">
        <v>484</v>
      </c>
      <c r="E229" s="28">
        <f>+H4</f>
        <v>0.8474459214237677</v>
      </c>
    </row>
    <row r="230" ht="15">
      <c r="F230" s="16"/>
    </row>
    <row r="231" spans="1:7" ht="15">
      <c r="A231" s="23"/>
      <c r="B231" s="24" t="s">
        <v>489</v>
      </c>
      <c r="C231" s="24" t="s">
        <v>487</v>
      </c>
      <c r="D231" s="24" t="s">
        <v>467</v>
      </c>
      <c r="E231" s="215" t="s">
        <v>469</v>
      </c>
      <c r="F231" s="215"/>
      <c r="G231" s="215"/>
    </row>
    <row r="232" spans="1:7" ht="15">
      <c r="A232" s="25"/>
      <c r="B232" s="25"/>
      <c r="C232" s="26" t="s">
        <v>488</v>
      </c>
      <c r="D232" s="26" t="s">
        <v>468</v>
      </c>
      <c r="E232" s="26" t="s">
        <v>529</v>
      </c>
      <c r="F232" s="26" t="s">
        <v>481</v>
      </c>
      <c r="G232" s="25" t="s">
        <v>544</v>
      </c>
    </row>
    <row r="233" spans="1:7" ht="15">
      <c r="A233" s="15" t="s">
        <v>473</v>
      </c>
      <c r="B233" s="38">
        <f>SUM(B234:B240)</f>
        <v>142675.2637078248</v>
      </c>
      <c r="C233" s="29">
        <v>1</v>
      </c>
      <c r="D233" s="38">
        <f>SUM(D234:D240)</f>
        <v>142675.2637078248</v>
      </c>
      <c r="E233" s="38">
        <f>+D233/E222</f>
        <v>1246.0721721207408</v>
      </c>
      <c r="F233" s="79">
        <f>+D233/E223</f>
        <v>15.286051251736966</v>
      </c>
      <c r="G233" s="38">
        <f aca="true" t="shared" si="14" ref="G233:G269">+F233/100*1.03</f>
        <v>0.15744632789289076</v>
      </c>
    </row>
    <row r="234" spans="1:7" ht="15">
      <c r="A234" s="20" t="s">
        <v>530</v>
      </c>
      <c r="B234" s="69">
        <f>+'spese allev'!G65</f>
        <v>105531.60762948864</v>
      </c>
      <c r="C234" s="30">
        <v>1</v>
      </c>
      <c r="D234" s="67">
        <f aca="true" t="shared" si="15" ref="D234:D242">+B234*C234</f>
        <v>105531.60762948864</v>
      </c>
      <c r="E234" s="67">
        <f aca="true" t="shared" si="16" ref="E234:E240">+D234/E$222</f>
        <v>921.6734290785034</v>
      </c>
      <c r="F234" s="80">
        <f aca="true" t="shared" si="17" ref="F234:F240">+D234/E$223</f>
        <v>11.306525889491578</v>
      </c>
      <c r="G234" s="67">
        <f t="shared" si="14"/>
        <v>0.11645721666176326</v>
      </c>
    </row>
    <row r="235" spans="1:7" ht="15">
      <c r="A235" s="20" t="s">
        <v>404</v>
      </c>
      <c r="B235" s="69">
        <f>+'magazzini mezzi'!H198</f>
        <v>6225.24</v>
      </c>
      <c r="C235" s="30">
        <v>1</v>
      </c>
      <c r="D235" s="67">
        <f t="shared" si="15"/>
        <v>6225.24</v>
      </c>
      <c r="E235" s="67">
        <f t="shared" si="16"/>
        <v>54.36890829694323</v>
      </c>
      <c r="F235" s="80">
        <f t="shared" si="17"/>
        <v>0.6669645124275607</v>
      </c>
      <c r="G235" s="67">
        <f t="shared" si="14"/>
        <v>0.006869734478003876</v>
      </c>
    </row>
    <row r="236" spans="1:7" ht="15">
      <c r="A236" s="20" t="s">
        <v>405</v>
      </c>
      <c r="B236" s="69">
        <f>+'magazzini mezzi'!H205</f>
        <v>1450</v>
      </c>
      <c r="C236" s="30">
        <v>1</v>
      </c>
      <c r="D236" s="67">
        <f t="shared" si="15"/>
        <v>1450</v>
      </c>
      <c r="E236" s="67">
        <f t="shared" si="16"/>
        <v>12.663755458515285</v>
      </c>
      <c r="F236" s="80">
        <f t="shared" si="17"/>
        <v>0.15535120622176224</v>
      </c>
      <c r="G236" s="67">
        <f t="shared" si="14"/>
        <v>0.0016001174240841511</v>
      </c>
    </row>
    <row r="237" spans="1:7" ht="15">
      <c r="A237" s="20" t="s">
        <v>531</v>
      </c>
      <c r="B237" s="69">
        <f>+'spese allev'!J65</f>
        <v>20084.234120241486</v>
      </c>
      <c r="C237" s="30">
        <v>1</v>
      </c>
      <c r="D237" s="67">
        <f t="shared" si="15"/>
        <v>20084.234120241486</v>
      </c>
      <c r="E237" s="67">
        <f t="shared" si="16"/>
        <v>175.40815825538417</v>
      </c>
      <c r="F237" s="80">
        <f t="shared" si="17"/>
        <v>2.1517999976688196</v>
      </c>
      <c r="G237" s="67">
        <f t="shared" si="14"/>
        <v>0.02216353997598884</v>
      </c>
    </row>
    <row r="238" spans="1:7" ht="15">
      <c r="A238" s="20" t="s">
        <v>532</v>
      </c>
      <c r="B238" s="69">
        <f>+'spese allev'!K65</f>
        <v>4858.811012926917</v>
      </c>
      <c r="C238" s="30">
        <v>1</v>
      </c>
      <c r="D238" s="67">
        <f t="shared" si="15"/>
        <v>4858.811012926917</v>
      </c>
      <c r="E238" s="67">
        <f t="shared" si="16"/>
        <v>42.435030680584426</v>
      </c>
      <c r="F238" s="80">
        <f t="shared" si="17"/>
        <v>0.5205670011460545</v>
      </c>
      <c r="G238" s="67">
        <f t="shared" si="14"/>
        <v>0.0053618401118043614</v>
      </c>
    </row>
    <row r="239" spans="1:7" ht="15">
      <c r="A239" s="20" t="s">
        <v>533</v>
      </c>
      <c r="B239" s="69">
        <f>+'spese allev'!L65</f>
        <v>3737.98075681594</v>
      </c>
      <c r="C239" s="30">
        <v>1</v>
      </c>
      <c r="D239" s="67">
        <f t="shared" si="15"/>
        <v>3737.98075681594</v>
      </c>
      <c r="E239" s="67">
        <f t="shared" si="16"/>
        <v>32.64612014686411</v>
      </c>
      <c r="F239" s="80">
        <f t="shared" si="17"/>
        <v>0.4004826340724772</v>
      </c>
      <c r="G239" s="67">
        <f t="shared" si="14"/>
        <v>0.004124971130946515</v>
      </c>
    </row>
    <row r="240" spans="1:7" ht="15">
      <c r="A240" s="20" t="s">
        <v>534</v>
      </c>
      <c r="B240" s="69">
        <f>+'spese allev'!M65</f>
        <v>787.3901883518311</v>
      </c>
      <c r="C240" s="30">
        <v>1</v>
      </c>
      <c r="D240" s="67">
        <f t="shared" si="15"/>
        <v>787.3901883518311</v>
      </c>
      <c r="E240" s="67">
        <f t="shared" si="16"/>
        <v>6.876770203946123</v>
      </c>
      <c r="F240" s="80">
        <f t="shared" si="17"/>
        <v>0.08436001070871553</v>
      </c>
      <c r="G240" s="67">
        <f t="shared" si="14"/>
        <v>0.00086890811029977</v>
      </c>
    </row>
    <row r="241" spans="1:7" ht="15">
      <c r="A241" s="15" t="s">
        <v>474</v>
      </c>
      <c r="B241" s="17">
        <f>+B242</f>
        <v>59042.58941934751</v>
      </c>
      <c r="C241" s="29">
        <v>1</v>
      </c>
      <c r="D241" s="17">
        <f t="shared" si="15"/>
        <v>59042.58941934751</v>
      </c>
      <c r="E241" s="17">
        <f>+D241/E222</f>
        <v>515.6558027890612</v>
      </c>
      <c r="F241" s="81">
        <f>+D241/E223</f>
        <v>6.325749989484064</v>
      </c>
      <c r="G241" s="17">
        <f t="shared" si="14"/>
        <v>0.06515522489168586</v>
      </c>
    </row>
    <row r="242" spans="1:7" ht="15">
      <c r="A242" s="20" t="s">
        <v>540</v>
      </c>
      <c r="B242" s="67">
        <f>+'spese allev'!N65</f>
        <v>59042.58941934751</v>
      </c>
      <c r="C242" s="30">
        <v>1</v>
      </c>
      <c r="D242" s="67">
        <f t="shared" si="15"/>
        <v>59042.58941934751</v>
      </c>
      <c r="E242" s="67">
        <f>+D242/E222</f>
        <v>515.6558027890612</v>
      </c>
      <c r="F242" s="80">
        <f>+D242/E223</f>
        <v>6.325749989484064</v>
      </c>
      <c r="G242" s="67">
        <f t="shared" si="14"/>
        <v>0.06515522489168586</v>
      </c>
    </row>
    <row r="243" spans="1:7" ht="15.75">
      <c r="A243" s="27" t="s">
        <v>475</v>
      </c>
      <c r="B243" s="68">
        <f>+B233+B241</f>
        <v>201717.85312717233</v>
      </c>
      <c r="C243" s="31">
        <v>1</v>
      </c>
      <c r="D243" s="68">
        <f>+D233+D241</f>
        <v>201717.85312717233</v>
      </c>
      <c r="E243" s="68">
        <f>+D243/E222</f>
        <v>1761.727974909802</v>
      </c>
      <c r="F243" s="82">
        <f>+D243/E223</f>
        <v>21.61180124122103</v>
      </c>
      <c r="G243" s="68">
        <f t="shared" si="14"/>
        <v>0.2226015527845766</v>
      </c>
    </row>
    <row r="244" spans="1:7" ht="15">
      <c r="A244" s="32" t="s">
        <v>499</v>
      </c>
      <c r="B244" s="70">
        <f>SUM(B245:B255)</f>
        <v>109739.53955073937</v>
      </c>
      <c r="C244" s="33"/>
      <c r="D244" s="83">
        <f>SUM(D245:D255)</f>
        <v>71048.52207779631</v>
      </c>
      <c r="E244" s="70">
        <f>+D244/E222</f>
        <v>620.5111098497495</v>
      </c>
      <c r="F244" s="84">
        <f>+D244/E223</f>
        <v>7.612050762109766</v>
      </c>
      <c r="G244" s="70">
        <f t="shared" si="14"/>
        <v>0.0784041228497306</v>
      </c>
    </row>
    <row r="245" spans="1:7" ht="15">
      <c r="A245" s="20" t="s">
        <v>486</v>
      </c>
      <c r="B245" s="71">
        <f>+B154</f>
        <v>9452.530643298713</v>
      </c>
      <c r="C245" s="34">
        <f>+E227</f>
        <v>0</v>
      </c>
      <c r="D245" s="67">
        <f aca="true" t="shared" si="18" ref="D245:D255">+B245*C245</f>
        <v>0</v>
      </c>
      <c r="E245" s="67">
        <f>+D245/E222</f>
        <v>0</v>
      </c>
      <c r="F245" s="80">
        <f>+D245/E223</f>
        <v>0</v>
      </c>
      <c r="G245" s="67">
        <f t="shared" si="14"/>
        <v>0</v>
      </c>
    </row>
    <row r="246" spans="1:7" ht="15">
      <c r="A246" s="20" t="s">
        <v>490</v>
      </c>
      <c r="B246" s="71">
        <f>+B17</f>
        <v>6960.847402480027</v>
      </c>
      <c r="C246" s="34">
        <f>+E228</f>
        <v>0.8844134231892643</v>
      </c>
      <c r="D246" s="67">
        <f t="shared" si="18"/>
        <v>6156.266879525459</v>
      </c>
      <c r="E246" s="67">
        <f>+D246/E222</f>
        <v>53.766522965287855</v>
      </c>
      <c r="F246" s="80">
        <f>+D246/E223</f>
        <v>0.6595748176257685</v>
      </c>
      <c r="G246" s="67">
        <f t="shared" si="14"/>
        <v>0.006793620621545416</v>
      </c>
    </row>
    <row r="247" spans="1:7" ht="15">
      <c r="A247" s="20" t="s">
        <v>535</v>
      </c>
      <c r="B247" s="71">
        <f>+B20</f>
        <v>6737.5</v>
      </c>
      <c r="C247" s="34">
        <v>1</v>
      </c>
      <c r="D247" s="67">
        <f t="shared" si="18"/>
        <v>6737.5</v>
      </c>
      <c r="E247" s="67">
        <f>+D247/E222</f>
        <v>58.842794759825324</v>
      </c>
      <c r="F247" s="80">
        <f>+D247/E223</f>
        <v>0.7218474151166365</v>
      </c>
      <c r="G247" s="67">
        <f t="shared" si="14"/>
        <v>0.007435028375701356</v>
      </c>
    </row>
    <row r="248" spans="1:7" ht="15">
      <c r="A248" s="20" t="s">
        <v>492</v>
      </c>
      <c r="B248" s="71">
        <f>+B21</f>
        <v>3330</v>
      </c>
      <c r="C248" s="34">
        <f>+C246</f>
        <v>0.8844134231892643</v>
      </c>
      <c r="D248" s="67">
        <f t="shared" si="18"/>
        <v>2945.0966992202502</v>
      </c>
      <c r="E248" s="67">
        <f>+D248/E222</f>
        <v>25.721368552141925</v>
      </c>
      <c r="F248" s="80">
        <f>+D248/E223</f>
        <v>0.3155340170093768</v>
      </c>
      <c r="G248" s="67">
        <f t="shared" si="14"/>
        <v>0.0032500003751965807</v>
      </c>
    </row>
    <row r="249" spans="1:7" ht="15">
      <c r="A249" s="20" t="s">
        <v>539</v>
      </c>
      <c r="B249" s="71">
        <f aca="true" t="shared" si="19" ref="B249:B255">+B24</f>
        <v>1061.2731214142227</v>
      </c>
      <c r="C249" s="34">
        <v>1</v>
      </c>
      <c r="D249" s="67">
        <f t="shared" si="18"/>
        <v>1061.2731214142227</v>
      </c>
      <c r="E249" s="67">
        <f>+D249/E222</f>
        <v>9.268760885713736</v>
      </c>
      <c r="F249" s="80">
        <f>+D249/E223</f>
        <v>0.1137034893396098</v>
      </c>
      <c r="G249" s="67">
        <f t="shared" si="14"/>
        <v>0.001171145940197981</v>
      </c>
    </row>
    <row r="250" spans="1:7" ht="15">
      <c r="A250" s="20" t="s">
        <v>494</v>
      </c>
      <c r="B250" s="71">
        <f t="shared" si="19"/>
        <v>3789.3062434474537</v>
      </c>
      <c r="C250" s="34">
        <f>+C248</f>
        <v>0.8844134231892643</v>
      </c>
      <c r="D250" s="67">
        <f t="shared" si="18"/>
        <v>3351.3133062798142</v>
      </c>
      <c r="E250" s="67">
        <f>+D250/E222</f>
        <v>29.26911184523855</v>
      </c>
      <c r="F250" s="80">
        <f>+D250/E223</f>
        <v>0.3590555617638698</v>
      </c>
      <c r="G250" s="67">
        <f t="shared" si="14"/>
        <v>0.0036982722861678592</v>
      </c>
    </row>
    <row r="251" spans="1:7" ht="15">
      <c r="A251" s="20" t="s">
        <v>495</v>
      </c>
      <c r="B251" s="71">
        <f t="shared" si="19"/>
        <v>1330.3929720545173</v>
      </c>
      <c r="C251" s="34">
        <f>+C250</f>
        <v>0.8844134231892643</v>
      </c>
      <c r="D251" s="67">
        <f t="shared" si="18"/>
        <v>1176.617402601675</v>
      </c>
      <c r="E251" s="67">
        <f>+D251/E222</f>
        <v>10.276134520538646</v>
      </c>
      <c r="F251" s="80">
        <f>+D251/E223</f>
        <v>0.12606133293495658</v>
      </c>
      <c r="G251" s="67">
        <f t="shared" si="14"/>
        <v>0.001298431729230053</v>
      </c>
    </row>
    <row r="252" spans="1:7" ht="15">
      <c r="A252" s="20" t="s">
        <v>451</v>
      </c>
      <c r="B252" s="71">
        <f t="shared" si="19"/>
        <v>14224.002505055754</v>
      </c>
      <c r="C252" s="34">
        <v>0</v>
      </c>
      <c r="D252" s="67">
        <f t="shared" si="18"/>
        <v>0</v>
      </c>
      <c r="E252" s="67">
        <f>+D252/E222</f>
        <v>0</v>
      </c>
      <c r="F252" s="80">
        <f>+D252/E223</f>
        <v>0</v>
      </c>
      <c r="G252" s="67">
        <f t="shared" si="14"/>
        <v>0</v>
      </c>
    </row>
    <row r="253" spans="1:7" ht="15">
      <c r="A253" s="20" t="s">
        <v>496</v>
      </c>
      <c r="B253" s="71">
        <f t="shared" si="19"/>
        <v>52133.844969968035</v>
      </c>
      <c r="C253" s="34">
        <f>+C251</f>
        <v>0.8844134231892643</v>
      </c>
      <c r="D253" s="67">
        <f t="shared" si="18"/>
        <v>46107.872293907836</v>
      </c>
      <c r="E253" s="67">
        <f>+D253/E222</f>
        <v>402.68884099482824</v>
      </c>
      <c r="F253" s="80">
        <f>+D253/E223</f>
        <v>4.939940398053485</v>
      </c>
      <c r="G253" s="67">
        <f t="shared" si="14"/>
        <v>0.0508813860999509</v>
      </c>
    </row>
    <row r="254" spans="1:7" ht="15">
      <c r="A254" s="20" t="s">
        <v>497</v>
      </c>
      <c r="B254" s="71">
        <f t="shared" si="19"/>
        <v>3512.5823748470552</v>
      </c>
      <c r="C254" s="34">
        <v>1</v>
      </c>
      <c r="D254" s="67">
        <f t="shared" si="18"/>
        <v>3512.5823748470552</v>
      </c>
      <c r="E254" s="67">
        <f>+D254/E222</f>
        <v>30.677575326175155</v>
      </c>
      <c r="F254" s="80">
        <f>+D254/E223</f>
        <v>0.3763337302660636</v>
      </c>
      <c r="G254" s="67">
        <f t="shared" si="14"/>
        <v>0.0038762374217404553</v>
      </c>
    </row>
    <row r="255" spans="1:7" ht="15">
      <c r="A255" s="20" t="s">
        <v>498</v>
      </c>
      <c r="B255" s="71">
        <f t="shared" si="19"/>
        <v>7207.259318173602</v>
      </c>
      <c r="C255" s="34">
        <f>+C252</f>
        <v>0</v>
      </c>
      <c r="D255" s="67">
        <f t="shared" si="18"/>
        <v>0</v>
      </c>
      <c r="E255" s="67">
        <f>+D255/E222</f>
        <v>0</v>
      </c>
      <c r="F255" s="80">
        <f>+D255/E223</f>
        <v>0</v>
      </c>
      <c r="G255" s="67">
        <f t="shared" si="14"/>
        <v>0</v>
      </c>
    </row>
    <row r="256" spans="1:7" ht="15">
      <c r="A256" s="32" t="s">
        <v>500</v>
      </c>
      <c r="B256" s="38">
        <f>SUM(B257:B261)</f>
        <v>50973.30076138912</v>
      </c>
      <c r="D256" s="38">
        <f>+D257+D261</f>
        <v>30801.37852145295</v>
      </c>
      <c r="E256" s="38">
        <f>+D256/E222</f>
        <v>269.00767267644494</v>
      </c>
      <c r="F256" s="79">
        <f>+D256/E223</f>
        <v>3.300021590759169</v>
      </c>
      <c r="G256" s="38">
        <f t="shared" si="14"/>
        <v>0.03399022238481944</v>
      </c>
    </row>
    <row r="257" spans="1:7" ht="15">
      <c r="A257" s="20" t="s">
        <v>501</v>
      </c>
      <c r="B257" s="71">
        <f>+B31</f>
        <v>34826.90076138912</v>
      </c>
      <c r="C257" s="34">
        <f>+C253</f>
        <v>0.8844134231892643</v>
      </c>
      <c r="D257" s="67">
        <f>+B257*C257</f>
        <v>30801.37852145295</v>
      </c>
      <c r="E257" s="67">
        <f>+D257/E222</f>
        <v>269.00767267644494</v>
      </c>
      <c r="F257" s="80">
        <f>+D257/E223</f>
        <v>3.300021590759169</v>
      </c>
      <c r="G257" s="67">
        <f t="shared" si="14"/>
        <v>0.03399022238481944</v>
      </c>
    </row>
    <row r="258" spans="1:7" ht="15">
      <c r="A258" s="20" t="str">
        <f>+A33</f>
        <v>Interessi su attr.stalla</v>
      </c>
      <c r="B258" s="71">
        <f>+B33</f>
        <v>3267.2000000000003</v>
      </c>
      <c r="C258" s="34">
        <v>1</v>
      </c>
      <c r="D258" s="67">
        <f>+B258*C258</f>
        <v>3267.2000000000003</v>
      </c>
      <c r="E258" s="67">
        <f>+D258/$E$46</f>
        <v>183.5505617977528</v>
      </c>
      <c r="F258" s="80">
        <f>+D258/E224</f>
        <v>40.080011228142354</v>
      </c>
      <c r="G258" s="67">
        <f t="shared" si="14"/>
        <v>0.41282411564986626</v>
      </c>
    </row>
    <row r="259" spans="1:7" ht="15">
      <c r="A259" s="20" t="str">
        <f>+A34</f>
        <v>Interessi su cap.bestiame</v>
      </c>
      <c r="B259" s="71">
        <f>+B34</f>
        <v>4806</v>
      </c>
      <c r="C259" s="34">
        <v>1</v>
      </c>
      <c r="D259" s="67">
        <f>+B259*C259</f>
        <v>4806</v>
      </c>
      <c r="E259" s="67">
        <f>+D259/$E$46</f>
        <v>270</v>
      </c>
      <c r="F259" s="80">
        <f>+D259/E225</f>
        <v>130.01001672569376</v>
      </c>
      <c r="G259" s="67">
        <f t="shared" si="14"/>
        <v>1.3391031722746458</v>
      </c>
    </row>
    <row r="260" spans="1:7" ht="15">
      <c r="A260" s="20" t="s">
        <v>605</v>
      </c>
      <c r="B260" s="71">
        <f>+B33</f>
        <v>3267.2000000000003</v>
      </c>
      <c r="C260" s="28">
        <f>+E228</f>
        <v>0.8844134231892643</v>
      </c>
      <c r="D260" s="67">
        <f>+B260*C260</f>
        <v>2889.5555362439645</v>
      </c>
      <c r="E260" s="67">
        <f>+D260/$E$46</f>
        <v>162.33458068786317</v>
      </c>
      <c r="F260" s="80">
        <f>+D260/E226</f>
        <v>0.008374728200024566</v>
      </c>
      <c r="G260" s="67">
        <f t="shared" si="14"/>
        <v>8.625970046025303E-05</v>
      </c>
    </row>
    <row r="261" spans="1:7" ht="15">
      <c r="A261" s="20" t="s">
        <v>502</v>
      </c>
      <c r="B261" s="71">
        <f>+B34</f>
        <v>4806</v>
      </c>
      <c r="C261" s="34">
        <f>+C255</f>
        <v>0</v>
      </c>
      <c r="D261" s="67">
        <f>+B261*C261</f>
        <v>0</v>
      </c>
      <c r="E261" s="67">
        <f>+D261/E222</f>
        <v>0</v>
      </c>
      <c r="F261" s="80">
        <f>+D261/E223</f>
        <v>0</v>
      </c>
      <c r="G261" s="67">
        <f t="shared" si="14"/>
        <v>0</v>
      </c>
    </row>
    <row r="262" spans="1:7" ht="15.75">
      <c r="A262" s="27" t="s">
        <v>503</v>
      </c>
      <c r="B262" s="68">
        <f>+B244+B256</f>
        <v>160712.84031212848</v>
      </c>
      <c r="C262" s="31"/>
      <c r="D262" s="68">
        <f>+D244+D256</f>
        <v>101849.90059924926</v>
      </c>
      <c r="E262" s="68">
        <f>+D262/E222</f>
        <v>889.5187825261944</v>
      </c>
      <c r="F262" s="82">
        <f>+D262/E223</f>
        <v>10.912072352868936</v>
      </c>
      <c r="G262" s="68">
        <f t="shared" si="14"/>
        <v>0.11239434523455004</v>
      </c>
    </row>
    <row r="263" spans="1:7" ht="15.75">
      <c r="A263" s="35" t="s">
        <v>504</v>
      </c>
      <c r="B263" s="35"/>
      <c r="C263" s="35"/>
      <c r="D263" s="72">
        <f>+D262+D243</f>
        <v>303567.7537264216</v>
      </c>
      <c r="E263" s="72">
        <f>+D263/E222</f>
        <v>2651.2467574359966</v>
      </c>
      <c r="F263" s="85">
        <f>+D263/E223</f>
        <v>32.52387359408997</v>
      </c>
      <c r="G263" s="72">
        <f t="shared" si="14"/>
        <v>0.3349958980191267</v>
      </c>
    </row>
    <row r="264" spans="1:7" ht="15.75">
      <c r="A264" s="21" t="s">
        <v>506</v>
      </c>
      <c r="D264" s="73">
        <f>+D265+D267</f>
        <v>347882.75416573975</v>
      </c>
      <c r="E264" s="73">
        <f>+D264/E222</f>
        <v>3038.2773289584256</v>
      </c>
      <c r="F264" s="86">
        <f>+D264/E223</f>
        <v>37.27172791958376</v>
      </c>
      <c r="G264" s="73">
        <f t="shared" si="14"/>
        <v>0.3838987975717127</v>
      </c>
    </row>
    <row r="265" spans="1:7" ht="15">
      <c r="A265" s="15" t="s">
        <v>541</v>
      </c>
      <c r="D265" s="17">
        <f>+E226</f>
        <v>345032.75416573975</v>
      </c>
      <c r="E265" s="17">
        <f>+D265/E$222</f>
        <v>3013.3864992641024</v>
      </c>
      <c r="F265" s="81">
        <f>+D265/E$223</f>
        <v>36.96638244528581</v>
      </c>
      <c r="G265" s="17">
        <f t="shared" si="14"/>
        <v>0.38075373918644384</v>
      </c>
    </row>
    <row r="266" spans="1:7" ht="15">
      <c r="A266" s="15" t="s">
        <v>542</v>
      </c>
      <c r="D266" s="17">
        <f>+D5</f>
        <v>27670</v>
      </c>
      <c r="E266" s="17">
        <f>+D266/E$222</f>
        <v>241.65938864628822</v>
      </c>
      <c r="F266" s="81">
        <f>+D266/E$223</f>
        <v>2.9645295697628695</v>
      </c>
      <c r="G266" s="17">
        <f t="shared" si="14"/>
        <v>0.030534654568557557</v>
      </c>
    </row>
    <row r="267" spans="1:7" ht="15">
      <c r="A267" s="25" t="s">
        <v>543</v>
      </c>
      <c r="B267" s="25"/>
      <c r="C267" s="25"/>
      <c r="D267" s="75">
        <f>+D6</f>
        <v>2850</v>
      </c>
      <c r="E267" s="75">
        <f>+D267/E222</f>
        <v>24.890829694323145</v>
      </c>
      <c r="F267" s="87">
        <f>+D267/E223</f>
        <v>0.30534547429794645</v>
      </c>
      <c r="G267" s="75">
        <f t="shared" si="14"/>
        <v>0.0031450583852688486</v>
      </c>
    </row>
    <row r="268" spans="1:7" ht="15">
      <c r="A268" s="15" t="s">
        <v>516</v>
      </c>
      <c r="D268" s="38">
        <f>+D264-D243</f>
        <v>146164.90103856742</v>
      </c>
      <c r="E268" s="38">
        <f>+D268/E222</f>
        <v>1276.5493540486239</v>
      </c>
      <c r="F268" s="79">
        <f>+D268/E223</f>
        <v>15.659926678362728</v>
      </c>
      <c r="G268" s="38">
        <f t="shared" si="14"/>
        <v>0.1612972447871361</v>
      </c>
    </row>
    <row r="269" spans="1:7" ht="15">
      <c r="A269" s="25" t="s">
        <v>517</v>
      </c>
      <c r="B269" s="25"/>
      <c r="C269" s="25"/>
      <c r="D269" s="74">
        <f>+D264-D263</f>
        <v>44315.00043931813</v>
      </c>
      <c r="E269" s="74">
        <f>+D269/E222</f>
        <v>387.03057152242906</v>
      </c>
      <c r="F269" s="88">
        <f>+D269/E223</f>
        <v>4.7478543254937895</v>
      </c>
      <c r="G269" s="74">
        <f t="shared" si="14"/>
        <v>0.04890289955258603</v>
      </c>
    </row>
  </sheetData>
  <mergeCells count="5">
    <mergeCell ref="E231:G231"/>
    <mergeCell ref="E57:F57"/>
    <mergeCell ref="E102:F102"/>
    <mergeCell ref="E145:F145"/>
    <mergeCell ref="E189:F189"/>
  </mergeCells>
  <printOptions/>
  <pageMargins left="0.61" right="0.5" top="1" bottom="1" header="0.5" footer="0.5"/>
  <pageSetup fitToHeight="5" horizontalDpi="300" verticalDpi="300" orientation="portrait" paperSize="9" scale="75" r:id="rId1"/>
  <rowBreaks count="4" manualBreakCount="4">
    <brk id="91" max="6" man="1"/>
    <brk id="134" max="6" man="1"/>
    <brk id="178" max="6" man="1"/>
    <brk id="220" max="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35"/>
  <dimension ref="A1:G35"/>
  <sheetViews>
    <sheetView workbookViewId="0" topLeftCell="A1">
      <selection activeCell="A1" sqref="A1"/>
    </sheetView>
  </sheetViews>
  <sheetFormatPr defaultColWidth="9.140625" defaultRowHeight="12.75"/>
  <cols>
    <col min="1" max="3" width="10.421875" style="0" customWidth="1"/>
    <col min="4" max="4" width="11.140625" style="0" customWidth="1"/>
    <col min="5" max="7" width="10.421875" style="0" customWidth="1"/>
  </cols>
  <sheetData>
    <row r="1" ht="15">
      <c r="A1" s="89" t="s">
        <v>606</v>
      </c>
    </row>
    <row r="3" spans="1:7" ht="38.25">
      <c r="A3" s="208" t="s">
        <v>925</v>
      </c>
      <c r="B3" s="209" t="s">
        <v>926</v>
      </c>
      <c r="C3" s="209" t="s">
        <v>608</v>
      </c>
      <c r="D3" s="209" t="s">
        <v>609</v>
      </c>
      <c r="E3" s="209" t="s">
        <v>610</v>
      </c>
      <c r="F3" s="209" t="s">
        <v>611</v>
      </c>
      <c r="G3" s="210" t="s">
        <v>612</v>
      </c>
    </row>
    <row r="4" spans="1:7" ht="12.75">
      <c r="A4" s="90">
        <v>100</v>
      </c>
      <c r="B4" s="64">
        <f>+'Costi e ricavi'!C3</f>
        <v>369.6638244528581</v>
      </c>
      <c r="C4" s="203">
        <f aca="true" t="shared" si="0" ref="C4:C13">+B4*A4</f>
        <v>36966.38244528581</v>
      </c>
      <c r="D4" s="204">
        <f>+'Costi e ricavi'!D52</f>
        <v>149176.77217547141</v>
      </c>
      <c r="E4" s="64">
        <f>+'Costi e ricavi'!E53</f>
        <v>210.90114525356785</v>
      </c>
      <c r="F4" s="203">
        <f aca="true" t="shared" si="1" ref="F4:F13">+E4*A4</f>
        <v>21090.114525356785</v>
      </c>
      <c r="G4" s="205">
        <f aca="true" t="shared" si="2" ref="G4:G13">+D4+F4</f>
        <v>170266.8867008282</v>
      </c>
    </row>
    <row r="5" spans="1:7" ht="12.75">
      <c r="A5" s="90">
        <v>200</v>
      </c>
      <c r="B5" s="64">
        <f>+B4</f>
        <v>369.6638244528581</v>
      </c>
      <c r="C5" s="203">
        <f t="shared" si="0"/>
        <v>73932.76489057162</v>
      </c>
      <c r="D5" s="204">
        <f>+D4</f>
        <v>149176.77217547141</v>
      </c>
      <c r="E5" s="64">
        <f>+E4</f>
        <v>210.90114525356785</v>
      </c>
      <c r="F5" s="203">
        <f t="shared" si="1"/>
        <v>42180.22905071357</v>
      </c>
      <c r="G5" s="205">
        <f t="shared" si="2"/>
        <v>191357.00122618498</v>
      </c>
    </row>
    <row r="6" spans="1:7" ht="12.75">
      <c r="A6" s="90">
        <v>300</v>
      </c>
      <c r="B6" s="64">
        <f aca="true" t="shared" si="3" ref="B6:B14">+B5</f>
        <v>369.6638244528581</v>
      </c>
      <c r="C6" s="203">
        <f t="shared" si="0"/>
        <v>110899.14733585743</v>
      </c>
      <c r="D6" s="204">
        <f aca="true" t="shared" si="4" ref="D6:E14">+D5</f>
        <v>149176.77217547141</v>
      </c>
      <c r="E6" s="64">
        <f t="shared" si="4"/>
        <v>210.90114525356785</v>
      </c>
      <c r="F6" s="203">
        <f t="shared" si="1"/>
        <v>63270.34357607036</v>
      </c>
      <c r="G6" s="205">
        <f t="shared" si="2"/>
        <v>212447.11575154177</v>
      </c>
    </row>
    <row r="7" spans="1:7" ht="12.75">
      <c r="A7" s="90">
        <v>400</v>
      </c>
      <c r="B7" s="64">
        <f t="shared" si="3"/>
        <v>369.6638244528581</v>
      </c>
      <c r="C7" s="203">
        <f t="shared" si="0"/>
        <v>147865.52978114324</v>
      </c>
      <c r="D7" s="204">
        <f t="shared" si="4"/>
        <v>149176.77217547141</v>
      </c>
      <c r="E7" s="64">
        <f t="shared" si="4"/>
        <v>210.90114525356785</v>
      </c>
      <c r="F7" s="203">
        <f t="shared" si="1"/>
        <v>84360.45810142714</v>
      </c>
      <c r="G7" s="205">
        <f t="shared" si="2"/>
        <v>233537.23027689854</v>
      </c>
    </row>
    <row r="8" spans="1:7" ht="12.75">
      <c r="A8" s="90">
        <v>500</v>
      </c>
      <c r="B8" s="64">
        <f t="shared" si="3"/>
        <v>369.6638244528581</v>
      </c>
      <c r="C8" s="203">
        <f t="shared" si="0"/>
        <v>184831.91222642903</v>
      </c>
      <c r="D8" s="204">
        <f t="shared" si="4"/>
        <v>149176.77217547141</v>
      </c>
      <c r="E8" s="64">
        <f t="shared" si="4"/>
        <v>210.90114525356785</v>
      </c>
      <c r="F8" s="203">
        <f t="shared" si="1"/>
        <v>105450.57262678392</v>
      </c>
      <c r="G8" s="205">
        <f t="shared" si="2"/>
        <v>254627.34480225533</v>
      </c>
    </row>
    <row r="9" spans="1:7" ht="12.75">
      <c r="A9" s="90">
        <v>600</v>
      </c>
      <c r="B9" s="64">
        <f t="shared" si="3"/>
        <v>369.6638244528581</v>
      </c>
      <c r="C9" s="203">
        <f t="shared" si="0"/>
        <v>221798.29467171486</v>
      </c>
      <c r="D9" s="204">
        <f t="shared" si="4"/>
        <v>149176.77217547141</v>
      </c>
      <c r="E9" s="64">
        <f t="shared" si="4"/>
        <v>210.90114525356785</v>
      </c>
      <c r="F9" s="203">
        <f t="shared" si="1"/>
        <v>126540.68715214072</v>
      </c>
      <c r="G9" s="205">
        <f t="shared" si="2"/>
        <v>275717.45932761213</v>
      </c>
    </row>
    <row r="10" spans="1:7" ht="12.75">
      <c r="A10" s="90">
        <v>700</v>
      </c>
      <c r="B10" s="64">
        <f t="shared" si="3"/>
        <v>369.6638244528581</v>
      </c>
      <c r="C10" s="203">
        <f t="shared" si="0"/>
        <v>258764.67711700065</v>
      </c>
      <c r="D10" s="204">
        <f t="shared" si="4"/>
        <v>149176.77217547141</v>
      </c>
      <c r="E10" s="64">
        <f t="shared" si="4"/>
        <v>210.90114525356785</v>
      </c>
      <c r="F10" s="203">
        <f t="shared" si="1"/>
        <v>147630.80167749748</v>
      </c>
      <c r="G10" s="205">
        <f t="shared" si="2"/>
        <v>296807.57385296887</v>
      </c>
    </row>
    <row r="11" spans="1:7" ht="12.75">
      <c r="A11" s="90">
        <v>800</v>
      </c>
      <c r="B11" s="64">
        <f t="shared" si="3"/>
        <v>369.6638244528581</v>
      </c>
      <c r="C11" s="203">
        <f t="shared" si="0"/>
        <v>295731.0595622865</v>
      </c>
      <c r="D11" s="204">
        <f t="shared" si="4"/>
        <v>149176.77217547141</v>
      </c>
      <c r="E11" s="64">
        <f t="shared" si="4"/>
        <v>210.90114525356785</v>
      </c>
      <c r="F11" s="203">
        <f t="shared" si="1"/>
        <v>168720.91620285428</v>
      </c>
      <c r="G11" s="205">
        <f t="shared" si="2"/>
        <v>317897.68837832566</v>
      </c>
    </row>
    <row r="12" spans="1:7" ht="12.75">
      <c r="A12" s="90">
        <v>900</v>
      </c>
      <c r="B12" s="64">
        <f t="shared" si="3"/>
        <v>369.6638244528581</v>
      </c>
      <c r="C12" s="203">
        <f t="shared" si="0"/>
        <v>332697.4420075723</v>
      </c>
      <c r="D12" s="204">
        <f t="shared" si="4"/>
        <v>149176.77217547141</v>
      </c>
      <c r="E12" s="64">
        <f t="shared" si="4"/>
        <v>210.90114525356785</v>
      </c>
      <c r="F12" s="203">
        <f t="shared" si="1"/>
        <v>189811.03072821107</v>
      </c>
      <c r="G12" s="205">
        <f t="shared" si="2"/>
        <v>338987.80290368246</v>
      </c>
    </row>
    <row r="13" spans="1:7" ht="12.75">
      <c r="A13" s="90">
        <v>1000</v>
      </c>
      <c r="B13" s="64">
        <f t="shared" si="3"/>
        <v>369.6638244528581</v>
      </c>
      <c r="C13" s="203">
        <f t="shared" si="0"/>
        <v>369663.82445285807</v>
      </c>
      <c r="D13" s="204">
        <f t="shared" si="4"/>
        <v>149176.77217547141</v>
      </c>
      <c r="E13" s="64">
        <f t="shared" si="4"/>
        <v>210.90114525356785</v>
      </c>
      <c r="F13" s="203">
        <f t="shared" si="1"/>
        <v>210901.14525356784</v>
      </c>
      <c r="G13" s="205">
        <f t="shared" si="2"/>
        <v>360077.91742903925</v>
      </c>
    </row>
    <row r="14" spans="1:7" ht="12.75">
      <c r="A14" s="91">
        <v>1100</v>
      </c>
      <c r="B14" s="12">
        <f t="shared" si="3"/>
        <v>369.6638244528581</v>
      </c>
      <c r="C14" s="206">
        <f>+B14*A14</f>
        <v>406630.20689814386</v>
      </c>
      <c r="D14" s="211">
        <f t="shared" si="4"/>
        <v>149176.77217547141</v>
      </c>
      <c r="E14" s="12">
        <f t="shared" si="4"/>
        <v>210.90114525356785</v>
      </c>
      <c r="F14" s="206">
        <f>+E14*A14</f>
        <v>231991.25977892464</v>
      </c>
      <c r="G14" s="207">
        <f>+D14+F14</f>
        <v>381168.03195439605</v>
      </c>
    </row>
    <row r="33" spans="2:6" ht="15.75">
      <c r="B33" s="200" t="s">
        <v>613</v>
      </c>
      <c r="C33" s="21" t="s">
        <v>614</v>
      </c>
      <c r="D33" s="21"/>
      <c r="E33" s="21"/>
      <c r="F33" s="21"/>
    </row>
    <row r="34" spans="2:6" ht="15.75">
      <c r="B34" s="21"/>
      <c r="C34" s="21"/>
      <c r="D34" s="21"/>
      <c r="E34" s="21"/>
      <c r="F34" s="21"/>
    </row>
    <row r="35" spans="2:6" ht="15.75">
      <c r="B35" s="200" t="s">
        <v>613</v>
      </c>
      <c r="C35" s="201" t="s">
        <v>945</v>
      </c>
      <c r="D35" s="21"/>
      <c r="E35" s="21"/>
      <c r="F35" s="202">
        <f>+D4/(B4-E4)</f>
        <v>939.6211561044148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36">
    <pageSetUpPr fitToPage="1"/>
  </sheetPr>
  <dimension ref="A1:O58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5.57421875" style="15" customWidth="1"/>
    <col min="2" max="4" width="13.8515625" style="15" customWidth="1"/>
    <col min="5" max="5" width="14.7109375" style="15" customWidth="1"/>
    <col min="6" max="6" width="9.140625" style="15" customWidth="1"/>
    <col min="7" max="7" width="14.140625" style="15" customWidth="1"/>
    <col min="8" max="8" width="13.8515625" style="15" customWidth="1"/>
    <col min="9" max="9" width="9.28125" style="15" bestFit="1" customWidth="1"/>
    <col min="10" max="11" width="14.28125" style="15" customWidth="1"/>
    <col min="12" max="12" width="9.140625" style="15" customWidth="1"/>
    <col min="13" max="14" width="14.28125" style="15" customWidth="1"/>
    <col min="15" max="15" width="17.421875" style="15" customWidth="1"/>
    <col min="16" max="16384" width="9.140625" style="15" customWidth="1"/>
  </cols>
  <sheetData>
    <row r="1" spans="2:15" ht="18.75" thickBot="1">
      <c r="B1" s="217" t="s">
        <v>948</v>
      </c>
      <c r="C1" s="218"/>
      <c r="D1" s="218"/>
      <c r="E1" s="218"/>
      <c r="F1" s="217" t="s">
        <v>949</v>
      </c>
      <c r="G1" s="218"/>
      <c r="H1" s="219"/>
      <c r="I1" s="217" t="s">
        <v>951</v>
      </c>
      <c r="J1" s="218"/>
      <c r="K1" s="219"/>
      <c r="L1" s="217" t="s">
        <v>953</v>
      </c>
      <c r="M1" s="218"/>
      <c r="N1" s="219"/>
      <c r="O1" s="246" t="s">
        <v>954</v>
      </c>
    </row>
    <row r="2" spans="1:15" ht="34.5" customHeight="1">
      <c r="A2" s="146" t="s">
        <v>842</v>
      </c>
      <c r="B2" s="216" t="s">
        <v>843</v>
      </c>
      <c r="C2" s="216" t="s">
        <v>943</v>
      </c>
      <c r="D2" s="216" t="s">
        <v>908</v>
      </c>
      <c r="E2" s="216" t="s">
        <v>844</v>
      </c>
      <c r="F2" s="220" t="s">
        <v>370</v>
      </c>
      <c r="G2" s="216" t="s">
        <v>908</v>
      </c>
      <c r="H2" s="221" t="s">
        <v>844</v>
      </c>
      <c r="I2" s="220" t="s">
        <v>370</v>
      </c>
      <c r="J2" s="216" t="s">
        <v>908</v>
      </c>
      <c r="K2" s="221" t="s">
        <v>844</v>
      </c>
      <c r="L2" s="220" t="s">
        <v>370</v>
      </c>
      <c r="M2" s="216" t="s">
        <v>908</v>
      </c>
      <c r="N2" s="221" t="s">
        <v>844</v>
      </c>
      <c r="O2" s="247" t="s">
        <v>908</v>
      </c>
    </row>
    <row r="3" spans="1:15" ht="15.75">
      <c r="A3" s="107" t="s">
        <v>620</v>
      </c>
      <c r="B3" s="159">
        <f>+'Conti colturali '!B4/10</f>
        <v>933.369</v>
      </c>
      <c r="C3" s="159">
        <f>+'Conti colturali '!C4*10</f>
        <v>369.6638244528581</v>
      </c>
      <c r="D3" s="179">
        <f>+C3*B3</f>
        <v>345032.7541657397</v>
      </c>
      <c r="E3" s="159">
        <f>+D3/$C$3</f>
        <v>933.369</v>
      </c>
      <c r="F3" s="222">
        <f>+C3*1.02</f>
        <v>377.0571009419152</v>
      </c>
      <c r="G3" s="186">
        <f>+B3*F3</f>
        <v>351933.4092490545</v>
      </c>
      <c r="H3" s="223">
        <f>+G3/$F$3</f>
        <v>933.369</v>
      </c>
      <c r="I3" s="222">
        <f>+F3</f>
        <v>377.0571009419152</v>
      </c>
      <c r="J3" s="186">
        <f>+G3*0.25</f>
        <v>87983.35231226363</v>
      </c>
      <c r="K3" s="223">
        <f>+J3/$F$3</f>
        <v>233.34225</v>
      </c>
      <c r="L3" s="222">
        <v>378.02</v>
      </c>
      <c r="M3" s="186">
        <f>+N3*L3</f>
        <v>85980.64899999999</v>
      </c>
      <c r="N3" s="223">
        <v>227.45</v>
      </c>
      <c r="O3" s="248">
        <f>+M3-J3</f>
        <v>-2002.7033122636349</v>
      </c>
    </row>
    <row r="4" spans="1:15" ht="15.75">
      <c r="A4" s="107" t="s">
        <v>780</v>
      </c>
      <c r="B4" s="107"/>
      <c r="C4" s="159"/>
      <c r="D4" s="179">
        <f>+'Bilancio compilato'!D4</f>
        <v>27670</v>
      </c>
      <c r="E4" s="159">
        <f>+D4/$C$3</f>
        <v>74.85179281731058</v>
      </c>
      <c r="F4" s="224"/>
      <c r="G4" s="186">
        <f>+D4*1.02</f>
        <v>28223.4</v>
      </c>
      <c r="H4" s="223">
        <f>+G4/$F$3</f>
        <v>74.85179281731058</v>
      </c>
      <c r="I4" s="224"/>
      <c r="J4" s="186">
        <f>+G4*0.25</f>
        <v>7055.85</v>
      </c>
      <c r="K4" s="223">
        <f>+J4/$I$3</f>
        <v>18.712948204327645</v>
      </c>
      <c r="L4" s="224"/>
      <c r="M4" s="186">
        <v>7250</v>
      </c>
      <c r="N4" s="223">
        <f>+M4/$L$3</f>
        <v>19.178879424369082</v>
      </c>
      <c r="O4" s="248">
        <f>+M4-J4</f>
        <v>194.14999999999964</v>
      </c>
    </row>
    <row r="5" spans="1:15" ht="15.75">
      <c r="A5" s="141" t="s">
        <v>846</v>
      </c>
      <c r="B5" s="141"/>
      <c r="C5" s="141"/>
      <c r="D5" s="181">
        <f>SUM(D3:D4)</f>
        <v>372702.7541657397</v>
      </c>
      <c r="E5" s="180">
        <f>SUM(E3:E4)</f>
        <v>1008.2207928173107</v>
      </c>
      <c r="F5" s="225"/>
      <c r="G5" s="181">
        <f>SUM(G3:G4)</f>
        <v>380156.8092490545</v>
      </c>
      <c r="H5" s="226">
        <f>SUM(H3:H4)</f>
        <v>1008.2207928173107</v>
      </c>
      <c r="I5" s="225"/>
      <c r="J5" s="181">
        <f>SUM(J3:J4)</f>
        <v>95039.20231226363</v>
      </c>
      <c r="K5" s="226">
        <f>SUM(K3:K4)</f>
        <v>252.05519820432767</v>
      </c>
      <c r="L5" s="225"/>
      <c r="M5" s="181">
        <f>SUM(M3:M4)</f>
        <v>93230.64899999999</v>
      </c>
      <c r="N5" s="226">
        <f>SUM(N3:N4)</f>
        <v>246.62887942436907</v>
      </c>
      <c r="O5" s="249">
        <f>+M5-J5</f>
        <v>-1808.5533122636407</v>
      </c>
    </row>
    <row r="6" spans="1:15" ht="19.5" customHeight="1">
      <c r="A6" s="117" t="s">
        <v>848</v>
      </c>
      <c r="B6" s="117"/>
      <c r="C6" s="152" t="s">
        <v>942</v>
      </c>
      <c r="D6" s="152"/>
      <c r="E6" s="118" t="s">
        <v>944</v>
      </c>
      <c r="F6" s="227" t="s">
        <v>950</v>
      </c>
      <c r="G6" s="118"/>
      <c r="H6" s="228" t="s">
        <v>944</v>
      </c>
      <c r="I6" s="227" t="s">
        <v>952</v>
      </c>
      <c r="J6" s="118"/>
      <c r="K6" s="228" t="s">
        <v>944</v>
      </c>
      <c r="L6" s="227"/>
      <c r="M6" s="118"/>
      <c r="N6" s="228" t="s">
        <v>944</v>
      </c>
      <c r="O6" s="250"/>
    </row>
    <row r="7" spans="1:15" ht="15.75">
      <c r="A7" s="107" t="s">
        <v>849</v>
      </c>
      <c r="B7" s="107"/>
      <c r="C7" s="178"/>
      <c r="D7" s="178">
        <f>+'Bilancio compilato'!D13</f>
        <v>105531.60762948864</v>
      </c>
      <c r="E7" s="159">
        <f>+D7/$E$5</f>
        <v>104.67112797247273</v>
      </c>
      <c r="F7" s="229">
        <v>0.05</v>
      </c>
      <c r="G7" s="230">
        <f>+D7*(1+F7)</f>
        <v>110808.18801096309</v>
      </c>
      <c r="H7" s="223">
        <f>+G7/$H$5</f>
        <v>109.90468437109638</v>
      </c>
      <c r="I7" s="229">
        <v>0.25</v>
      </c>
      <c r="J7" s="230">
        <f>+G7*I7</f>
        <v>27702.047002740772</v>
      </c>
      <c r="K7" s="223">
        <f>+J7/$K$5</f>
        <v>109.90468437109638</v>
      </c>
      <c r="L7" s="229"/>
      <c r="M7" s="230">
        <v>28350</v>
      </c>
      <c r="N7" s="223">
        <f>+M7/$N$5</f>
        <v>114.95004180438559</v>
      </c>
      <c r="O7" s="251">
        <f aca="true" t="shared" si="0" ref="O7:O50">+M7-J7</f>
        <v>647.9529972592281</v>
      </c>
    </row>
    <row r="8" spans="1:15" ht="15.75">
      <c r="A8" s="107" t="s">
        <v>850</v>
      </c>
      <c r="B8" s="107"/>
      <c r="C8" s="178"/>
      <c r="D8" s="178">
        <f>+'Bilancio compilato'!D14</f>
        <v>7675.24</v>
      </c>
      <c r="E8" s="159">
        <f>+D8/$E$5</f>
        <v>7.612657916479561</v>
      </c>
      <c r="F8" s="231">
        <v>1.2</v>
      </c>
      <c r="G8" s="230">
        <f>+D8*(1+F8)</f>
        <v>16885.528000000002</v>
      </c>
      <c r="H8" s="223">
        <f>+G8/$H$5</f>
        <v>16.747847416255038</v>
      </c>
      <c r="I8" s="231">
        <v>0.4</v>
      </c>
      <c r="J8" s="230">
        <f>+G8*I8</f>
        <v>6754.211200000002</v>
      </c>
      <c r="K8" s="223">
        <f>+J8/$K$5</f>
        <v>26.796555866008063</v>
      </c>
      <c r="L8" s="231"/>
      <c r="M8" s="230">
        <v>6645</v>
      </c>
      <c r="N8" s="223">
        <f>+M8/$N$5</f>
        <v>26.943316676900963</v>
      </c>
      <c r="O8" s="251">
        <f t="shared" si="0"/>
        <v>-109.21120000000155</v>
      </c>
    </row>
    <row r="9" spans="1:15" ht="15.75">
      <c r="A9" s="107" t="s">
        <v>851</v>
      </c>
      <c r="B9" s="107"/>
      <c r="C9" s="178"/>
      <c r="D9" s="178">
        <f>+D7+D8</f>
        <v>113206.84762948865</v>
      </c>
      <c r="E9" s="159">
        <f>+D9/$E$5</f>
        <v>112.2837858889523</v>
      </c>
      <c r="F9" s="232"/>
      <c r="G9" s="230">
        <f>+G7+G8</f>
        <v>127693.7160109631</v>
      </c>
      <c r="H9" s="223">
        <f>+G9/$H$5</f>
        <v>126.65253178735142</v>
      </c>
      <c r="I9" s="232"/>
      <c r="J9" s="230">
        <f>+J7+J8</f>
        <v>34456.25820274078</v>
      </c>
      <c r="K9" s="223">
        <f>+J9/$K$5</f>
        <v>136.70124023710446</v>
      </c>
      <c r="L9" s="232"/>
      <c r="M9" s="230">
        <f>+M7+M8</f>
        <v>34995</v>
      </c>
      <c r="N9" s="223">
        <f>+M9/$N$5</f>
        <v>141.89335848128655</v>
      </c>
      <c r="O9" s="251">
        <f t="shared" si="0"/>
        <v>538.741797259223</v>
      </c>
    </row>
    <row r="10" spans="1:15" ht="15">
      <c r="A10" s="112" t="s">
        <v>419</v>
      </c>
      <c r="B10" s="112"/>
      <c r="C10" s="182">
        <f>+'Bilancio compilato'!D8</f>
        <v>2740.3245941638506</v>
      </c>
      <c r="D10" s="182"/>
      <c r="E10" s="160"/>
      <c r="F10" s="233">
        <v>0.03</v>
      </c>
      <c r="G10" s="234">
        <f>+C10*(1+F10)</f>
        <v>2822.534331988766</v>
      </c>
      <c r="H10" s="235"/>
      <c r="I10" s="233">
        <v>0.8</v>
      </c>
      <c r="J10" s="234">
        <f>+G10*I10</f>
        <v>2258.027465591013</v>
      </c>
      <c r="K10" s="235"/>
      <c r="L10" s="233"/>
      <c r="M10" s="234">
        <v>2400</v>
      </c>
      <c r="N10" s="235"/>
      <c r="O10" s="252">
        <f t="shared" si="0"/>
        <v>141.97253440898703</v>
      </c>
    </row>
    <row r="11" spans="1:15" ht="15">
      <c r="A11" s="112" t="s">
        <v>852</v>
      </c>
      <c r="B11" s="112"/>
      <c r="C11" s="182">
        <f>+'Bilancio compilato'!D9</f>
        <v>3064.5881818181815</v>
      </c>
      <c r="D11" s="182"/>
      <c r="E11" s="160"/>
      <c r="F11" s="233">
        <v>0.02</v>
      </c>
      <c r="G11" s="234">
        <f>+C11*(1+F11)</f>
        <v>3125.879945454545</v>
      </c>
      <c r="H11" s="235"/>
      <c r="I11" s="233">
        <v>1</v>
      </c>
      <c r="J11" s="234">
        <f>+G11*I11</f>
        <v>3125.879945454545</v>
      </c>
      <c r="K11" s="235"/>
      <c r="L11" s="233"/>
      <c r="M11" s="234">
        <v>3080</v>
      </c>
      <c r="N11" s="235"/>
      <c r="O11" s="252">
        <f t="shared" si="0"/>
        <v>-45.87994545454512</v>
      </c>
    </row>
    <row r="12" spans="1:15" ht="15">
      <c r="A12" s="112" t="s">
        <v>853</v>
      </c>
      <c r="B12" s="112"/>
      <c r="C12" s="182">
        <f>+'Bilancio compilato'!D10</f>
        <v>970.4741590790542</v>
      </c>
      <c r="D12" s="182"/>
      <c r="E12" s="160"/>
      <c r="F12" s="233">
        <v>0.02</v>
      </c>
      <c r="G12" s="234">
        <f>+C12*(1+F12)</f>
        <v>989.8836422606353</v>
      </c>
      <c r="H12" s="235"/>
      <c r="I12" s="233">
        <v>1</v>
      </c>
      <c r="J12" s="234">
        <f>+G12*I12</f>
        <v>989.8836422606353</v>
      </c>
      <c r="K12" s="235"/>
      <c r="L12" s="233"/>
      <c r="M12" s="234">
        <v>975</v>
      </c>
      <c r="N12" s="235"/>
      <c r="O12" s="252">
        <f t="shared" si="0"/>
        <v>-14.88364226063527</v>
      </c>
    </row>
    <row r="13" spans="1:15" ht="15">
      <c r="A13" s="112" t="s">
        <v>786</v>
      </c>
      <c r="B13" s="112"/>
      <c r="C13" s="182">
        <f>+'Bilancio compilato'!D11</f>
        <v>5621.312465479773</v>
      </c>
      <c r="D13" s="182"/>
      <c r="E13" s="160"/>
      <c r="F13" s="233">
        <v>0</v>
      </c>
      <c r="G13" s="234">
        <f>+C13*(1+F13)</f>
        <v>5621.312465479773</v>
      </c>
      <c r="H13" s="235"/>
      <c r="I13" s="233">
        <v>0</v>
      </c>
      <c r="J13" s="234">
        <f>+G13*I13</f>
        <v>0</v>
      </c>
      <c r="K13" s="235"/>
      <c r="L13" s="233"/>
      <c r="M13" s="234">
        <f>+J13*L13</f>
        <v>0</v>
      </c>
      <c r="N13" s="235"/>
      <c r="O13" s="252">
        <f t="shared" si="0"/>
        <v>0</v>
      </c>
    </row>
    <row r="14" spans="1:15" ht="15">
      <c r="A14" s="112" t="s">
        <v>420</v>
      </c>
      <c r="B14" s="112"/>
      <c r="C14" s="182">
        <f>+'Bilancio compilato'!D12</f>
        <v>1481.8181348675546</v>
      </c>
      <c r="D14" s="182"/>
      <c r="E14" s="160"/>
      <c r="F14" s="233">
        <v>0.02</v>
      </c>
      <c r="G14" s="234">
        <f>+C14*(1+F14)</f>
        <v>1511.4544975649058</v>
      </c>
      <c r="H14" s="235"/>
      <c r="I14" s="233">
        <v>0.25</v>
      </c>
      <c r="J14" s="234">
        <f>+G14*I14</f>
        <v>377.86362439122644</v>
      </c>
      <c r="K14" s="235"/>
      <c r="L14" s="233"/>
      <c r="M14" s="234">
        <v>512</v>
      </c>
      <c r="N14" s="235"/>
      <c r="O14" s="252">
        <f t="shared" si="0"/>
        <v>134.13637560877356</v>
      </c>
    </row>
    <row r="15" spans="1:15" ht="15.75">
      <c r="A15" s="107" t="s">
        <v>854</v>
      </c>
      <c r="B15" s="107"/>
      <c r="C15" s="178"/>
      <c r="D15" s="178">
        <f>SUM(C10:C14)</f>
        <v>13878.517535408415</v>
      </c>
      <c r="E15" s="159">
        <f>+D15/$E$5</f>
        <v>13.765355400603406</v>
      </c>
      <c r="F15" s="232"/>
      <c r="G15" s="230">
        <f>SUM(G10:G14)</f>
        <v>14071.064882748626</v>
      </c>
      <c r="H15" s="223">
        <f>+G15/$H$5</f>
        <v>13.9563327626177</v>
      </c>
      <c r="I15" s="232"/>
      <c r="J15" s="230">
        <f>SUM(J10:J14)</f>
        <v>6751.65467769742</v>
      </c>
      <c r="K15" s="223">
        <f>+J15/$K$5</f>
        <v>26.786413157899702</v>
      </c>
      <c r="L15" s="232"/>
      <c r="M15" s="230">
        <f>SUM(M10:M14)</f>
        <v>6967</v>
      </c>
      <c r="N15" s="223">
        <f>+M15/$N$5</f>
        <v>28.24892208998781</v>
      </c>
      <c r="O15" s="251">
        <f t="shared" si="0"/>
        <v>215.34532230257992</v>
      </c>
    </row>
    <row r="16" spans="1:15" ht="15">
      <c r="A16" s="112" t="s">
        <v>486</v>
      </c>
      <c r="B16" s="112"/>
      <c r="C16" s="182">
        <f>+'Bilancio compilato'!D16</f>
        <v>9452.530643298713</v>
      </c>
      <c r="D16" s="182"/>
      <c r="E16" s="160"/>
      <c r="F16" s="233">
        <v>0.02</v>
      </c>
      <c r="G16" s="234">
        <f>+C16*(1+F16)</f>
        <v>9641.581256164687</v>
      </c>
      <c r="H16" s="235"/>
      <c r="I16" s="233">
        <v>0.25</v>
      </c>
      <c r="J16" s="234">
        <f>+G16*I16</f>
        <v>2410.395314041172</v>
      </c>
      <c r="K16" s="235"/>
      <c r="L16" s="233"/>
      <c r="M16" s="234">
        <v>2502</v>
      </c>
      <c r="N16" s="235"/>
      <c r="O16" s="252">
        <f t="shared" si="0"/>
        <v>91.60468595882821</v>
      </c>
    </row>
    <row r="17" spans="1:15" ht="15">
      <c r="A17" s="112" t="s">
        <v>585</v>
      </c>
      <c r="B17" s="112"/>
      <c r="C17" s="182">
        <f>+'Bilancio compilato'!D22</f>
        <v>4355.590904161094</v>
      </c>
      <c r="D17" s="182"/>
      <c r="E17" s="160"/>
      <c r="F17" s="233">
        <v>0.02</v>
      </c>
      <c r="G17" s="234">
        <f>+C17*(1+F17)</f>
        <v>4442.702722244316</v>
      </c>
      <c r="H17" s="235"/>
      <c r="I17" s="233">
        <v>0.25</v>
      </c>
      <c r="J17" s="234">
        <f>+G17*I17</f>
        <v>1110.675680561079</v>
      </c>
      <c r="K17" s="235"/>
      <c r="L17" s="233"/>
      <c r="M17" s="234">
        <v>940</v>
      </c>
      <c r="N17" s="235"/>
      <c r="O17" s="252">
        <f t="shared" si="0"/>
        <v>-170.67568056107893</v>
      </c>
    </row>
    <row r="18" spans="1:15" ht="15">
      <c r="A18" s="112" t="s">
        <v>495</v>
      </c>
      <c r="B18" s="112"/>
      <c r="C18" s="182">
        <f>+'Bilancio compilato'!D23</f>
        <v>1330.3929720545173</v>
      </c>
      <c r="D18" s="182"/>
      <c r="E18" s="160"/>
      <c r="F18" s="233">
        <v>0</v>
      </c>
      <c r="G18" s="234">
        <f>+C18*(1+F18)</f>
        <v>1330.3929720545173</v>
      </c>
      <c r="H18" s="235"/>
      <c r="I18" s="233">
        <v>0</v>
      </c>
      <c r="J18" s="234">
        <f>+G18*I18</f>
        <v>0</v>
      </c>
      <c r="K18" s="235"/>
      <c r="L18" s="233"/>
      <c r="M18" s="234">
        <f>+J18*L18</f>
        <v>0</v>
      </c>
      <c r="N18" s="235"/>
      <c r="O18" s="252">
        <f t="shared" si="0"/>
        <v>0</v>
      </c>
    </row>
    <row r="19" spans="1:15" ht="15">
      <c r="A19" s="112" t="s">
        <v>420</v>
      </c>
      <c r="B19" s="112"/>
      <c r="C19" s="182">
        <f>+'spese mecc'!J13</f>
        <v>104.11771085644048</v>
      </c>
      <c r="D19" s="182"/>
      <c r="E19" s="160"/>
      <c r="F19" s="233">
        <v>0.02</v>
      </c>
      <c r="G19" s="234">
        <f>+C19*(1+F19)</f>
        <v>106.20006507356929</v>
      </c>
      <c r="H19" s="235"/>
      <c r="I19" s="233">
        <v>0.25</v>
      </c>
      <c r="J19" s="234">
        <f>+G19*I19</f>
        <v>26.550016268392323</v>
      </c>
      <c r="K19" s="235"/>
      <c r="L19" s="233"/>
      <c r="M19" s="234">
        <v>55</v>
      </c>
      <c r="N19" s="235"/>
      <c r="O19" s="252">
        <f t="shared" si="0"/>
        <v>28.449983731607677</v>
      </c>
    </row>
    <row r="20" spans="1:15" ht="15.75">
      <c r="A20" s="107" t="s">
        <v>855</v>
      </c>
      <c r="B20" s="107"/>
      <c r="C20" s="178"/>
      <c r="D20" s="178">
        <f>SUM(C16:C19)</f>
        <v>15242.632230370764</v>
      </c>
      <c r="E20" s="159">
        <f>+D20/$E$5</f>
        <v>15.118347428421588</v>
      </c>
      <c r="F20" s="232"/>
      <c r="G20" s="230">
        <f>SUM(G16:G19)</f>
        <v>15520.87701553709</v>
      </c>
      <c r="H20" s="223">
        <f>+G20/$H$5</f>
        <v>15.39432347171347</v>
      </c>
      <c r="I20" s="232"/>
      <c r="J20" s="230">
        <f>SUM(J16:J19)</f>
        <v>3547.621010870643</v>
      </c>
      <c r="K20" s="223">
        <f>+J20/$K$5</f>
        <v>14.074778207885943</v>
      </c>
      <c r="L20" s="232"/>
      <c r="M20" s="230">
        <f>SUM(M16:M19)</f>
        <v>3497</v>
      </c>
      <c r="N20" s="223">
        <f>+M20/$N$5</f>
        <v>14.179199160138852</v>
      </c>
      <c r="O20" s="251">
        <f t="shared" si="0"/>
        <v>-50.621010870643204</v>
      </c>
    </row>
    <row r="21" spans="1:15" ht="15.75">
      <c r="A21" s="107" t="s">
        <v>856</v>
      </c>
      <c r="B21" s="107"/>
      <c r="C21" s="178"/>
      <c r="D21" s="178">
        <f>+'magazzini prodotti'!G12-'magazzini prodotti'!H15+'magazzini prodotti'!G23-'magazzini prodotti'!H26+'magazzini prodotti'!G32-'magazzini prodotti'!H35+'magazzini prodotti'!G41-'magazzini prodotti'!H44</f>
        <v>9960.501644915224</v>
      </c>
      <c r="E21" s="159">
        <f>+D21/$E$5</f>
        <v>9.87928608086152</v>
      </c>
      <c r="F21" s="232"/>
      <c r="G21" s="230">
        <f>+'magazzini prodotti'!K12-'magazzini prodotti'!L15+'magazzini prodotti'!K23-'magazzini prodotti'!L26+'magazzini prodotti'!K32-'magazzini prodotti'!L35+'magazzini prodotti'!K41-'magazzini prodotti'!L44</f>
        <v>0</v>
      </c>
      <c r="H21" s="223">
        <f>+G21/$H$5</f>
        <v>0</v>
      </c>
      <c r="I21" s="232"/>
      <c r="J21" s="230">
        <f>+'magazzini prodotti'!O12-'magazzini prodotti'!P15+'magazzini prodotti'!O23-'magazzini prodotti'!P26+'magazzini prodotti'!O32-'magazzini prodotti'!P35+'magazzini prodotti'!O41-'magazzini prodotti'!P44</f>
        <v>0</v>
      </c>
      <c r="K21" s="223">
        <f>+J21/$K$5</f>
        <v>0</v>
      </c>
      <c r="L21" s="232"/>
      <c r="M21" s="230">
        <f>+'magazzini prodotti'!R12-'magazzini prodotti'!S15+'magazzini prodotti'!R23-'magazzini prodotti'!S26+'magazzini prodotti'!R32-'magazzini prodotti'!S35+'magazzini prodotti'!R41-'magazzini prodotti'!S44</f>
        <v>0</v>
      </c>
      <c r="N21" s="223">
        <f>+M21/$N$5</f>
        <v>0</v>
      </c>
      <c r="O21" s="251">
        <f t="shared" si="0"/>
        <v>0</v>
      </c>
    </row>
    <row r="22" spans="1:15" ht="15.75">
      <c r="A22" s="107" t="s">
        <v>857</v>
      </c>
      <c r="B22" s="107"/>
      <c r="C22" s="178"/>
      <c r="D22" s="178">
        <f>+D20+D15+D21</f>
        <v>39081.6514106944</v>
      </c>
      <c r="E22" s="159">
        <f>+D22/$E$5</f>
        <v>38.762988909886516</v>
      </c>
      <c r="F22" s="232"/>
      <c r="G22" s="230">
        <f>+G20+G15+G21</f>
        <v>29591.941898285717</v>
      </c>
      <c r="H22" s="223">
        <f>+G22/$H$5</f>
        <v>29.350656234331172</v>
      </c>
      <c r="I22" s="232"/>
      <c r="J22" s="230">
        <f>+J20+J15+J21</f>
        <v>10299.275688568063</v>
      </c>
      <c r="K22" s="223">
        <f>+J22/$K$5</f>
        <v>40.86119136578564</v>
      </c>
      <c r="L22" s="232"/>
      <c r="M22" s="230">
        <f>+M20+M15+M21</f>
        <v>10464</v>
      </c>
      <c r="N22" s="223">
        <f>+M22/$N$5</f>
        <v>42.428121250126665</v>
      </c>
      <c r="O22" s="251">
        <f t="shared" si="0"/>
        <v>164.72431143193717</v>
      </c>
    </row>
    <row r="23" spans="1:15" ht="15.75">
      <c r="A23" s="107" t="s">
        <v>858</v>
      </c>
      <c r="B23" s="107"/>
      <c r="C23" s="178"/>
      <c r="D23" s="178">
        <f>+'Bilancio compilato'!D15</f>
        <v>29468.416078336173</v>
      </c>
      <c r="E23" s="159">
        <f>+D23/$E$5</f>
        <v>29.22813761457094</v>
      </c>
      <c r="F23" s="231">
        <v>0.03</v>
      </c>
      <c r="G23" s="230">
        <f>+D23*(1+F23)</f>
        <v>30352.46856068626</v>
      </c>
      <c r="H23" s="223">
        <f>+G23/$H$5</f>
        <v>30.104981743008068</v>
      </c>
      <c r="I23" s="231">
        <v>0.25</v>
      </c>
      <c r="J23" s="230">
        <f aca="true" t="shared" si="1" ref="J23:J30">+G23*I23</f>
        <v>7588.117140171565</v>
      </c>
      <c r="K23" s="223">
        <f>+J23/$K$5</f>
        <v>30.104981743008068</v>
      </c>
      <c r="L23" s="231"/>
      <c r="M23" s="230">
        <v>8250</v>
      </c>
      <c r="N23" s="223">
        <f>+M23/$N$5</f>
        <v>33.451070366355594</v>
      </c>
      <c r="O23" s="251">
        <f t="shared" si="0"/>
        <v>661.8828598284354</v>
      </c>
    </row>
    <row r="24" spans="1:15" ht="15">
      <c r="A24" s="112" t="s">
        <v>490</v>
      </c>
      <c r="B24" s="112"/>
      <c r="C24" s="182">
        <f>+'Bilancio compilato'!D17</f>
        <v>6960.847402480027</v>
      </c>
      <c r="D24" s="182"/>
      <c r="E24" s="160"/>
      <c r="F24" s="233">
        <v>0.02</v>
      </c>
      <c r="G24" s="234">
        <f>+C24*(1+F24)</f>
        <v>7100.0643505296275</v>
      </c>
      <c r="H24" s="235"/>
      <c r="I24" s="233">
        <v>0.25</v>
      </c>
      <c r="J24" s="234">
        <f t="shared" si="1"/>
        <v>1775.0160876324069</v>
      </c>
      <c r="K24" s="235"/>
      <c r="L24" s="233"/>
      <c r="M24" s="234">
        <v>1280</v>
      </c>
      <c r="N24" s="235"/>
      <c r="O24" s="252">
        <f t="shared" si="0"/>
        <v>-495.0160876324069</v>
      </c>
    </row>
    <row r="25" spans="1:15" ht="15">
      <c r="A25" s="112" t="s">
        <v>859</v>
      </c>
      <c r="B25" s="112"/>
      <c r="C25" s="182">
        <f>+'Bilancio compilato'!D21</f>
        <v>3789.3062434474537</v>
      </c>
      <c r="D25" s="182"/>
      <c r="E25" s="160"/>
      <c r="F25" s="233">
        <v>0</v>
      </c>
      <c r="G25" s="234">
        <f>+C25*(1+F25)</f>
        <v>3789.3062434474537</v>
      </c>
      <c r="H25" s="235"/>
      <c r="I25" s="233">
        <v>0.25</v>
      </c>
      <c r="J25" s="234">
        <f t="shared" si="1"/>
        <v>947.3265608618634</v>
      </c>
      <c r="K25" s="235"/>
      <c r="L25" s="233"/>
      <c r="M25" s="234">
        <v>930</v>
      </c>
      <c r="N25" s="235"/>
      <c r="O25" s="252">
        <f t="shared" si="0"/>
        <v>-17.326560861863413</v>
      </c>
    </row>
    <row r="26" spans="1:15" ht="15">
      <c r="A26" s="112" t="s">
        <v>860</v>
      </c>
      <c r="B26" s="112"/>
      <c r="C26" s="182">
        <v>0</v>
      </c>
      <c r="D26" s="182"/>
      <c r="E26" s="160"/>
      <c r="F26" s="233">
        <v>0</v>
      </c>
      <c r="G26" s="234">
        <f>+C26*(1+F26)</f>
        <v>0</v>
      </c>
      <c r="H26" s="235"/>
      <c r="I26" s="233">
        <v>0</v>
      </c>
      <c r="J26" s="234">
        <f t="shared" si="1"/>
        <v>0</v>
      </c>
      <c r="K26" s="235"/>
      <c r="L26" s="233"/>
      <c r="M26" s="234">
        <f>+J26*L26</f>
        <v>0</v>
      </c>
      <c r="N26" s="235"/>
      <c r="O26" s="252">
        <f t="shared" si="0"/>
        <v>0</v>
      </c>
    </row>
    <row r="27" spans="1:15" ht="15">
      <c r="A27" s="112" t="s">
        <v>937</v>
      </c>
      <c r="B27" s="112"/>
      <c r="C27" s="182">
        <f>+'Bilancio compilato'!D25</f>
        <v>5963.63110516612</v>
      </c>
      <c r="D27" s="182"/>
      <c r="E27" s="160"/>
      <c r="F27" s="233">
        <v>0.02</v>
      </c>
      <c r="G27" s="234">
        <f>+C27*(1+F27)</f>
        <v>6082.903727269442</v>
      </c>
      <c r="H27" s="235"/>
      <c r="I27" s="233">
        <v>0.5</v>
      </c>
      <c r="J27" s="234">
        <f t="shared" si="1"/>
        <v>3041.451863634721</v>
      </c>
      <c r="K27" s="235"/>
      <c r="L27" s="233"/>
      <c r="M27" s="234">
        <v>3041.45</v>
      </c>
      <c r="N27" s="235"/>
      <c r="O27" s="252">
        <f t="shared" si="0"/>
        <v>-0.0018636347213032423</v>
      </c>
    </row>
    <row r="28" spans="1:15" ht="15">
      <c r="A28" s="112" t="s">
        <v>936</v>
      </c>
      <c r="B28" s="112"/>
      <c r="C28" s="182">
        <f>+'Bilancio compilato'!D26+'Bilancio compilato'!D27</f>
        <v>8260.371399889635</v>
      </c>
      <c r="D28" s="245"/>
      <c r="E28" s="160"/>
      <c r="F28" s="233">
        <v>0.02</v>
      </c>
      <c r="G28" s="234">
        <f>+G5*0.02216</f>
        <v>8424.274892959047</v>
      </c>
      <c r="H28" s="235"/>
      <c r="I28" s="233">
        <v>0.25</v>
      </c>
      <c r="J28" s="234">
        <f>+J5*0.02216</f>
        <v>2106.0687232397618</v>
      </c>
      <c r="K28" s="235"/>
      <c r="L28" s="233"/>
      <c r="M28" s="234">
        <f>+M5*0.02216</f>
        <v>2065.9911818399996</v>
      </c>
      <c r="N28" s="235"/>
      <c r="O28" s="252">
        <f t="shared" si="0"/>
        <v>-40.07754139976214</v>
      </c>
    </row>
    <row r="29" spans="1:15" ht="15.75">
      <c r="A29" s="107" t="s">
        <v>861</v>
      </c>
      <c r="B29" s="107"/>
      <c r="C29" s="178"/>
      <c r="D29" s="178">
        <f>SUM(C24:C28)</f>
        <v>24974.156150983235</v>
      </c>
      <c r="E29" s="159">
        <f aca="true" t="shared" si="2" ref="E29:E34">+D29/$E$5</f>
        <v>24.770522814945103</v>
      </c>
      <c r="F29" s="232"/>
      <c r="G29" s="230">
        <f>SUM(G24:G28)</f>
        <v>25396.549214205566</v>
      </c>
      <c r="H29" s="223">
        <f>+G29/$H$5</f>
        <v>25.189471785479647</v>
      </c>
      <c r="I29" s="232"/>
      <c r="J29" s="230">
        <f>SUM(J24:J28)</f>
        <v>7869.8632353687535</v>
      </c>
      <c r="K29" s="223">
        <f>+J29/$K$5</f>
        <v>31.22277696089837</v>
      </c>
      <c r="L29" s="232"/>
      <c r="M29" s="230">
        <f>SUM(M24:M28)</f>
        <v>7317.441181839999</v>
      </c>
      <c r="N29" s="223">
        <f>+M29/$N$5</f>
        <v>29.66984725762401</v>
      </c>
      <c r="O29" s="251">
        <f t="shared" si="0"/>
        <v>-552.4220535287541</v>
      </c>
    </row>
    <row r="30" spans="1:15" ht="15.75">
      <c r="A30" s="107" t="s">
        <v>862</v>
      </c>
      <c r="B30" s="107"/>
      <c r="C30" s="178"/>
      <c r="D30" s="178">
        <f>+'spese varie'!I27</f>
        <v>7207.259318173602</v>
      </c>
      <c r="E30" s="159">
        <f t="shared" si="2"/>
        <v>7.148493037952606</v>
      </c>
      <c r="F30" s="231">
        <v>0</v>
      </c>
      <c r="G30" s="230">
        <f>+D30*(1+F30)</f>
        <v>7207.259318173602</v>
      </c>
      <c r="H30" s="223">
        <f>+G30/$H$5</f>
        <v>7.148493037952606</v>
      </c>
      <c r="I30" s="231">
        <v>0</v>
      </c>
      <c r="J30" s="230">
        <f t="shared" si="1"/>
        <v>0</v>
      </c>
      <c r="K30" s="223">
        <f>+J30/$K$5</f>
        <v>0</v>
      </c>
      <c r="L30" s="231"/>
      <c r="M30" s="230">
        <f>+J30*L30</f>
        <v>0</v>
      </c>
      <c r="N30" s="223">
        <f>+M30/$N$5</f>
        <v>0</v>
      </c>
      <c r="O30" s="251">
        <f t="shared" si="0"/>
        <v>0</v>
      </c>
    </row>
    <row r="31" spans="1:15" ht="15.75">
      <c r="A31" s="107" t="s">
        <v>863</v>
      </c>
      <c r="B31" s="107"/>
      <c r="C31" s="178"/>
      <c r="D31" s="178">
        <f>+D30+D29</f>
        <v>32181.415469156836</v>
      </c>
      <c r="E31" s="159">
        <f t="shared" si="2"/>
        <v>31.919015852897708</v>
      </c>
      <c r="F31" s="231"/>
      <c r="G31" s="230">
        <f>+G30+G29</f>
        <v>32603.808532379167</v>
      </c>
      <c r="H31" s="223">
        <f>+G31/$H$5</f>
        <v>32.33796482343225</v>
      </c>
      <c r="I31" s="231"/>
      <c r="J31" s="230">
        <f>+J30+J29</f>
        <v>7869.8632353687535</v>
      </c>
      <c r="K31" s="223">
        <f>+J31/$K$5</f>
        <v>31.22277696089837</v>
      </c>
      <c r="L31" s="231"/>
      <c r="M31" s="230">
        <f>+M30+M29</f>
        <v>7317.441181839999</v>
      </c>
      <c r="N31" s="223">
        <f>+M31/$N$5</f>
        <v>29.66984725762401</v>
      </c>
      <c r="O31" s="251">
        <f t="shared" si="0"/>
        <v>-552.4220535287541</v>
      </c>
    </row>
    <row r="32" spans="1:15" ht="15.75">
      <c r="A32" s="107" t="s">
        <v>864</v>
      </c>
      <c r="B32" s="107"/>
      <c r="C32" s="178"/>
      <c r="D32" s="178">
        <f>+'Bilancio compilato'!D19</f>
        <v>3330</v>
      </c>
      <c r="E32" s="159">
        <f t="shared" si="2"/>
        <v>3.3028479711223286</v>
      </c>
      <c r="F32" s="231">
        <v>0</v>
      </c>
      <c r="G32" s="230">
        <f>+D32*(1+F32)</f>
        <v>3330</v>
      </c>
      <c r="H32" s="223">
        <f>+G32/$H$5</f>
        <v>3.3028479711223286</v>
      </c>
      <c r="I32" s="231">
        <v>0.25</v>
      </c>
      <c r="J32" s="230">
        <f>+G32*I32</f>
        <v>832.5</v>
      </c>
      <c r="K32" s="223">
        <f>+J32/$K$5</f>
        <v>3.3028479711223286</v>
      </c>
      <c r="L32" s="231"/>
      <c r="M32" s="230">
        <f>+J32</f>
        <v>832.5</v>
      </c>
      <c r="N32" s="223">
        <f>+M32/$N$5</f>
        <v>3.375517100604974</v>
      </c>
      <c r="O32" s="251">
        <f t="shared" si="0"/>
        <v>0</v>
      </c>
    </row>
    <row r="33" spans="1:15" ht="15.75">
      <c r="A33" s="107" t="s">
        <v>865</v>
      </c>
      <c r="B33" s="107"/>
      <c r="C33" s="178"/>
      <c r="D33" s="178">
        <f>+'Bilancio compilato'!D20</f>
        <v>27651.5</v>
      </c>
      <c r="E33" s="159">
        <f t="shared" si="2"/>
        <v>27.426036238285004</v>
      </c>
      <c r="F33" s="231">
        <v>0</v>
      </c>
      <c r="G33" s="230">
        <f>+D33*(1+F33)</f>
        <v>27651.5</v>
      </c>
      <c r="H33" s="223">
        <f>+G33/$H$5</f>
        <v>27.426036238285004</v>
      </c>
      <c r="I33" s="231">
        <v>0.25</v>
      </c>
      <c r="J33" s="230">
        <f>+G33*I33</f>
        <v>6912.875</v>
      </c>
      <c r="K33" s="223">
        <f>+J33/$K$5</f>
        <v>27.426036238285004</v>
      </c>
      <c r="L33" s="231"/>
      <c r="M33" s="230">
        <f>+J33</f>
        <v>6912.875</v>
      </c>
      <c r="N33" s="223">
        <f>+M33/$N$5</f>
        <v>28.029462795008538</v>
      </c>
      <c r="O33" s="251">
        <f t="shared" si="0"/>
        <v>0</v>
      </c>
    </row>
    <row r="34" spans="1:15" ht="15.75">
      <c r="A34" s="107" t="s">
        <v>866</v>
      </c>
      <c r="B34" s="107"/>
      <c r="C34" s="178"/>
      <c r="D34" s="178">
        <f>+D33+D32</f>
        <v>30981.5</v>
      </c>
      <c r="E34" s="159">
        <f t="shared" si="2"/>
        <v>30.728884209407333</v>
      </c>
      <c r="F34" s="232"/>
      <c r="G34" s="230">
        <f>+G33+G32</f>
        <v>30981.5</v>
      </c>
      <c r="H34" s="223">
        <f>+G34/$H$5</f>
        <v>30.728884209407333</v>
      </c>
      <c r="I34" s="232"/>
      <c r="J34" s="230">
        <f>+G34*I34</f>
        <v>0</v>
      </c>
      <c r="K34" s="223">
        <f>+J34/$K$5</f>
        <v>0</v>
      </c>
      <c r="L34" s="232"/>
      <c r="M34" s="230">
        <f>+J34*L34</f>
        <v>0</v>
      </c>
      <c r="N34" s="223">
        <f>+M34/$N$5</f>
        <v>0</v>
      </c>
      <c r="O34" s="251">
        <f t="shared" si="0"/>
        <v>0</v>
      </c>
    </row>
    <row r="35" spans="1:15" ht="15">
      <c r="A35" s="112" t="s">
        <v>867</v>
      </c>
      <c r="B35" s="112"/>
      <c r="C35" s="182">
        <f>+manodopera!L2</f>
        <v>19148.155990641804</v>
      </c>
      <c r="D35" s="182"/>
      <c r="E35" s="160"/>
      <c r="F35" s="236">
        <v>0.025</v>
      </c>
      <c r="G35" s="234">
        <f>+C35*(1+F35)</f>
        <v>19626.859890407846</v>
      </c>
      <c r="H35" s="235"/>
      <c r="I35" s="236">
        <v>0.25</v>
      </c>
      <c r="J35" s="234">
        <f>+G35*I35</f>
        <v>4906.714972601962</v>
      </c>
      <c r="K35" s="235"/>
      <c r="L35" s="236"/>
      <c r="M35" s="234">
        <f>+J35</f>
        <v>4906.714972601962</v>
      </c>
      <c r="N35" s="235"/>
      <c r="O35" s="252">
        <f t="shared" si="0"/>
        <v>0</v>
      </c>
    </row>
    <row r="36" spans="1:15" ht="15">
      <c r="A36" s="112" t="s">
        <v>868</v>
      </c>
      <c r="B36" s="112"/>
      <c r="C36" s="182">
        <f>+manodopera!L3</f>
        <v>15678.744770747317</v>
      </c>
      <c r="D36" s="182"/>
      <c r="E36" s="160"/>
      <c r="F36" s="236">
        <v>0.025</v>
      </c>
      <c r="G36" s="234">
        <f>+C36*(1+F36)</f>
        <v>16070.713390015999</v>
      </c>
      <c r="H36" s="235"/>
      <c r="I36" s="236">
        <v>0.25</v>
      </c>
      <c r="J36" s="234">
        <f>+G36*I36</f>
        <v>4017.6783475039997</v>
      </c>
      <c r="K36" s="235"/>
      <c r="L36" s="236"/>
      <c r="M36" s="234">
        <f>+J36</f>
        <v>4017.6783475039997</v>
      </c>
      <c r="N36" s="235"/>
      <c r="O36" s="252">
        <f t="shared" si="0"/>
        <v>0</v>
      </c>
    </row>
    <row r="37" spans="1:15" ht="15.75">
      <c r="A37" s="107" t="s">
        <v>869</v>
      </c>
      <c r="B37" s="107"/>
      <c r="C37" s="178"/>
      <c r="D37" s="178">
        <f>+C35+C36</f>
        <v>34826.90076138912</v>
      </c>
      <c r="E37" s="159">
        <f aca="true" t="shared" si="3" ref="E37:E49">+D37/$E$5</f>
        <v>34.54293048655638</v>
      </c>
      <c r="F37" s="232"/>
      <c r="G37" s="230">
        <f>+G35+G36</f>
        <v>35697.57328042384</v>
      </c>
      <c r="H37" s="223">
        <f>+G37/$H$5</f>
        <v>35.40650374872028</v>
      </c>
      <c r="I37" s="232"/>
      <c r="J37" s="230">
        <f>+J35+J36</f>
        <v>8924.39332010596</v>
      </c>
      <c r="K37" s="223">
        <f>+J37/$K$5</f>
        <v>35.40650374872028</v>
      </c>
      <c r="L37" s="232"/>
      <c r="M37" s="230">
        <f>+M35+M36</f>
        <v>8924.39332010596</v>
      </c>
      <c r="N37" s="223">
        <f>+M37/$N$5</f>
        <v>36.185516233684645</v>
      </c>
      <c r="O37" s="251">
        <f t="shared" si="0"/>
        <v>0</v>
      </c>
    </row>
    <row r="38" spans="1:15" ht="15.75">
      <c r="A38" s="107" t="s">
        <v>870</v>
      </c>
      <c r="B38" s="107"/>
      <c r="C38" s="178"/>
      <c r="D38" s="178">
        <f>+manodopera!J3</f>
        <v>2731.850413423748</v>
      </c>
      <c r="E38" s="159">
        <f t="shared" si="3"/>
        <v>2.709575554170066</v>
      </c>
      <c r="F38" s="229">
        <v>0.025</v>
      </c>
      <c r="G38" s="230">
        <f>+D38*(1+F38)</f>
        <v>2800.1466737593414</v>
      </c>
      <c r="H38" s="223">
        <f>+G38/$H$5</f>
        <v>2.7773149430243174</v>
      </c>
      <c r="I38" s="229">
        <v>0.25</v>
      </c>
      <c r="J38" s="230">
        <f>+G38*I38</f>
        <v>700.0366684398354</v>
      </c>
      <c r="K38" s="223">
        <f>+J38/$K$5</f>
        <v>2.7773149430243174</v>
      </c>
      <c r="L38" s="229"/>
      <c r="M38" s="230">
        <v>715</v>
      </c>
      <c r="N38" s="223">
        <f>+M38/$N$5</f>
        <v>2.8990927650841516</v>
      </c>
      <c r="O38" s="251">
        <f t="shared" si="0"/>
        <v>14.963331560164647</v>
      </c>
    </row>
    <row r="39" spans="1:15" ht="15.75">
      <c r="A39" s="107" t="s">
        <v>871</v>
      </c>
      <c r="B39" s="107"/>
      <c r="C39" s="178"/>
      <c r="D39" s="178">
        <f>+manodopera!I4+manodopera!I5</f>
        <v>36364.0401390302</v>
      </c>
      <c r="E39" s="159">
        <f t="shared" si="3"/>
        <v>36.06753639489694</v>
      </c>
      <c r="F39" s="229">
        <v>0.025</v>
      </c>
      <c r="G39" s="230">
        <f>+D39*(1+F39)</f>
        <v>37273.14114250595</v>
      </c>
      <c r="H39" s="223">
        <f>+G39/$H$5</f>
        <v>36.969224804769354</v>
      </c>
      <c r="I39" s="229">
        <v>0.25</v>
      </c>
      <c r="J39" s="230">
        <f>+G39*I39</f>
        <v>9318.285285626487</v>
      </c>
      <c r="K39" s="223">
        <f>+J39/$K$5</f>
        <v>36.969224804769354</v>
      </c>
      <c r="L39" s="229"/>
      <c r="M39" s="230">
        <v>9512.27</v>
      </c>
      <c r="N39" s="223">
        <f>+M39/$N$5</f>
        <v>38.569165225911924</v>
      </c>
      <c r="O39" s="251">
        <f t="shared" si="0"/>
        <v>193.98471437351327</v>
      </c>
    </row>
    <row r="40" spans="1:15" ht="15.75">
      <c r="A40" s="107" t="s">
        <v>872</v>
      </c>
      <c r="B40" s="107"/>
      <c r="C40" s="178"/>
      <c r="D40" s="178">
        <f>+manodopera!J4+manodopera!J5</f>
        <v>13037.954417514087</v>
      </c>
      <c r="E40" s="159">
        <f t="shared" si="3"/>
        <v>12.931646034676216</v>
      </c>
      <c r="F40" s="229">
        <v>0.025</v>
      </c>
      <c r="G40" s="230">
        <f>+D40*(1+F40)</f>
        <v>13363.903277951938</v>
      </c>
      <c r="H40" s="223">
        <f>+G40/$H$5</f>
        <v>13.254937185543122</v>
      </c>
      <c r="I40" s="229">
        <v>0.25</v>
      </c>
      <c r="J40" s="230">
        <f>+G40*I40</f>
        <v>3340.9758194879846</v>
      </c>
      <c r="K40" s="223">
        <f>+J40/$K$5</f>
        <v>13.254937185543122</v>
      </c>
      <c r="L40" s="229"/>
      <c r="M40" s="230">
        <v>3365</v>
      </c>
      <c r="N40" s="223">
        <f>+M40/$N$5</f>
        <v>13.643982034277162</v>
      </c>
      <c r="O40" s="251">
        <f t="shared" si="0"/>
        <v>24.02418051201539</v>
      </c>
    </row>
    <row r="41" spans="1:15" ht="15.75">
      <c r="A41" s="107" t="s">
        <v>873</v>
      </c>
      <c r="B41" s="107"/>
      <c r="C41" s="178"/>
      <c r="D41" s="178">
        <f>SUM(D37:D40)</f>
        <v>86960.74573135716</v>
      </c>
      <c r="E41" s="159">
        <f t="shared" si="3"/>
        <v>86.25168847029961</v>
      </c>
      <c r="F41" s="232"/>
      <c r="G41" s="230">
        <f>SUM(G37:G40)</f>
        <v>89134.76437464106</v>
      </c>
      <c r="H41" s="223">
        <f>+G41/$H$5</f>
        <v>88.40798068205707</v>
      </c>
      <c r="I41" s="232"/>
      <c r="J41" s="230">
        <f>SUM(J37:J40)</f>
        <v>22283.691093660265</v>
      </c>
      <c r="K41" s="223">
        <f>+J41/$K$5</f>
        <v>88.40798068205707</v>
      </c>
      <c r="L41" s="232"/>
      <c r="M41" s="230">
        <f>SUM(M37:M40)</f>
        <v>22516.66332010596</v>
      </c>
      <c r="N41" s="223">
        <f>+M41/$N$5</f>
        <v>91.29775625895788</v>
      </c>
      <c r="O41" s="251">
        <f t="shared" si="0"/>
        <v>232.9722264456941</v>
      </c>
    </row>
    <row r="42" spans="1:15" ht="15.75">
      <c r="A42" s="107" t="s">
        <v>814</v>
      </c>
      <c r="B42" s="107"/>
      <c r="C42" s="178"/>
      <c r="D42" s="178">
        <f>+'Bilancio compilato'!D38</f>
        <v>3512.5823748470552</v>
      </c>
      <c r="E42" s="159">
        <f t="shared" si="3"/>
        <v>3.4839416126617557</v>
      </c>
      <c r="F42" s="229">
        <v>0</v>
      </c>
      <c r="G42" s="230">
        <f>+D42*(1+F42)</f>
        <v>3512.5823748470552</v>
      </c>
      <c r="H42" s="223">
        <f>+G42/$H$5</f>
        <v>3.4839416126617557</v>
      </c>
      <c r="I42" s="229">
        <v>0</v>
      </c>
      <c r="J42" s="230">
        <f>+G42*I42</f>
        <v>0</v>
      </c>
      <c r="K42" s="223">
        <f>+J42/$K$5</f>
        <v>0</v>
      </c>
      <c r="L42" s="229"/>
      <c r="M42" s="230">
        <f>+J42*L42</f>
        <v>0</v>
      </c>
      <c r="N42" s="223">
        <f>+M42/$N$5</f>
        <v>0</v>
      </c>
      <c r="O42" s="251">
        <f t="shared" si="0"/>
        <v>0</v>
      </c>
    </row>
    <row r="43" spans="1:15" ht="15.75">
      <c r="A43" s="107" t="s">
        <v>815</v>
      </c>
      <c r="B43" s="107"/>
      <c r="C43" s="178"/>
      <c r="D43" s="178">
        <v>0</v>
      </c>
      <c r="E43" s="159">
        <f t="shared" si="3"/>
        <v>0</v>
      </c>
      <c r="F43" s="229">
        <v>0</v>
      </c>
      <c r="G43" s="230">
        <f>+D43*(1+F43)</f>
        <v>0</v>
      </c>
      <c r="H43" s="223">
        <f>+G43/$H$5</f>
        <v>0</v>
      </c>
      <c r="I43" s="229">
        <v>0</v>
      </c>
      <c r="J43" s="230">
        <f>+G43*I43</f>
        <v>0</v>
      </c>
      <c r="K43" s="223">
        <f>+J43/$K$5</f>
        <v>0</v>
      </c>
      <c r="L43" s="229"/>
      <c r="M43" s="230">
        <f>+J43*L43</f>
        <v>0</v>
      </c>
      <c r="N43" s="223">
        <f>+M43/$N$5</f>
        <v>0</v>
      </c>
      <c r="O43" s="251">
        <f t="shared" si="0"/>
        <v>0</v>
      </c>
    </row>
    <row r="44" spans="1:15" ht="15.75">
      <c r="A44" s="107" t="s">
        <v>874</v>
      </c>
      <c r="B44" s="107"/>
      <c r="C44" s="178"/>
      <c r="D44" s="178">
        <f>+'Bilancio compilato'!D42</f>
        <v>3800.9</v>
      </c>
      <c r="E44" s="159">
        <f t="shared" si="3"/>
        <v>3.769908364396054</v>
      </c>
      <c r="F44" s="229">
        <v>0</v>
      </c>
      <c r="G44" s="230">
        <f>+D44*(1+F44)</f>
        <v>3800.9</v>
      </c>
      <c r="H44" s="223">
        <f>+G44/$H$5</f>
        <v>3.769908364396054</v>
      </c>
      <c r="I44" s="229">
        <v>0.25</v>
      </c>
      <c r="J44" s="230">
        <f>+G44*I44</f>
        <v>950.225</v>
      </c>
      <c r="K44" s="223">
        <f>+J44/$K$5</f>
        <v>3.769908364396054</v>
      </c>
      <c r="L44" s="229"/>
      <c r="M44" s="230">
        <f>+J44</f>
        <v>950.225</v>
      </c>
      <c r="N44" s="223">
        <f>+M44/$N$5</f>
        <v>3.8528537380448786</v>
      </c>
      <c r="O44" s="251">
        <f t="shared" si="0"/>
        <v>0</v>
      </c>
    </row>
    <row r="45" spans="1:15" ht="15.75">
      <c r="A45" s="107" t="s">
        <v>816</v>
      </c>
      <c r="B45" s="107"/>
      <c r="C45" s="178"/>
      <c r="D45" s="178">
        <f>+'Bilancio compilato'!D40</f>
        <v>22617.63335522211</v>
      </c>
      <c r="E45" s="159">
        <f t="shared" si="3"/>
        <v>22.433214546211428</v>
      </c>
      <c r="F45" s="229">
        <v>0.02</v>
      </c>
      <c r="G45" s="230">
        <f>+D45*(1+F45)</f>
        <v>23069.986022326553</v>
      </c>
      <c r="H45" s="223">
        <f>+G45/$H$5</f>
        <v>22.881878837135655</v>
      </c>
      <c r="I45" s="229">
        <v>0.25</v>
      </c>
      <c r="J45" s="230">
        <f>+G45*I45</f>
        <v>5767.496505581638</v>
      </c>
      <c r="K45" s="223">
        <f>+J45/$K$5</f>
        <v>22.881878837135655</v>
      </c>
      <c r="L45" s="229"/>
      <c r="M45" s="230">
        <f>+J45</f>
        <v>5767.496505581638</v>
      </c>
      <c r="N45" s="223">
        <f>+M45/$N$5</f>
        <v>23.38532502374805</v>
      </c>
      <c r="O45" s="251">
        <f t="shared" si="0"/>
        <v>0</v>
      </c>
    </row>
    <row r="46" spans="1:15" ht="15.75">
      <c r="A46" s="107" t="s">
        <v>875</v>
      </c>
      <c r="B46" s="107"/>
      <c r="C46" s="178"/>
      <c r="D46" s="178">
        <f>SUM(D42:D45)</f>
        <v>29931.115730069167</v>
      </c>
      <c r="E46" s="159">
        <f t="shared" si="3"/>
        <v>29.687064523269235</v>
      </c>
      <c r="F46" s="232"/>
      <c r="G46" s="230">
        <f>SUM(G42:G45)</f>
        <v>30383.46839717361</v>
      </c>
      <c r="H46" s="223">
        <f>+G46/$H$5</f>
        <v>30.135728814193463</v>
      </c>
      <c r="I46" s="232"/>
      <c r="J46" s="230">
        <f>SUM(J42:J45)</f>
        <v>6717.721505581639</v>
      </c>
      <c r="K46" s="223">
        <f>+J46/$K$5</f>
        <v>26.65178720153171</v>
      </c>
      <c r="L46" s="232"/>
      <c r="M46" s="230">
        <f>SUM(M42:M45)</f>
        <v>6717.721505581639</v>
      </c>
      <c r="N46" s="223">
        <f>+M46/$N$5</f>
        <v>27.238178761792927</v>
      </c>
      <c r="O46" s="251">
        <f t="shared" si="0"/>
        <v>0</v>
      </c>
    </row>
    <row r="47" spans="1:15" ht="15.75">
      <c r="A47" s="117" t="s">
        <v>837</v>
      </c>
      <c r="B47" s="117"/>
      <c r="C47" s="171"/>
      <c r="D47" s="183">
        <f>+D46+D41+D34+D31+D23+D22+D9</f>
        <v>361811.6920491024</v>
      </c>
      <c r="E47" s="184">
        <f t="shared" si="3"/>
        <v>358.8615654692836</v>
      </c>
      <c r="F47" s="237"/>
      <c r="G47" s="183">
        <f>+G46+G41+G34+G31+G23+G22+G9</f>
        <v>370741.6677741289</v>
      </c>
      <c r="H47" s="238">
        <f>+G47/$H$5</f>
        <v>367.71872829378077</v>
      </c>
      <c r="I47" s="237"/>
      <c r="J47" s="183">
        <f>+J46+J41+J34+J31+J23+J22+J9</f>
        <v>89214.92686609106</v>
      </c>
      <c r="K47" s="238">
        <f>+J47/$K$5</f>
        <v>353.9499581903853</v>
      </c>
      <c r="L47" s="237"/>
      <c r="M47" s="183">
        <f>+M46+M41+M34+M31+M23+M22+M9</f>
        <v>90260.82600752759</v>
      </c>
      <c r="N47" s="238">
        <f>+M47/$N$5</f>
        <v>365.9783323761436</v>
      </c>
      <c r="O47" s="253">
        <f t="shared" si="0"/>
        <v>1045.89914143653</v>
      </c>
    </row>
    <row r="48" spans="1:15" ht="15.75">
      <c r="A48"/>
      <c r="B48" s="21" t="s">
        <v>940</v>
      </c>
      <c r="C48"/>
      <c r="D48" s="189">
        <f>+D31+D34+D41+D42+D44-C28</f>
        <v>149176.77217547141</v>
      </c>
      <c r="E48" s="159">
        <f t="shared" si="3"/>
        <v>147.9604202157158</v>
      </c>
      <c r="F48" s="239"/>
      <c r="G48" s="240">
        <f>+G31+G34+G41+G42+G44-G28</f>
        <v>151609.28038890823</v>
      </c>
      <c r="H48" s="223">
        <f>+G48/$H$5</f>
        <v>150.37309433508162</v>
      </c>
      <c r="I48" s="239"/>
      <c r="J48" s="240">
        <f>+J31+J34+J41+J42+J44-J28</f>
        <v>28997.710605789256</v>
      </c>
      <c r="K48" s="223">
        <f>+J48/$K$5</f>
        <v>115.04508065047864</v>
      </c>
      <c r="L48" s="239"/>
      <c r="M48" s="240">
        <f>+M31+M34+M41+M42+M44-M28</f>
        <v>28718.33832010596</v>
      </c>
      <c r="N48" s="223">
        <f>+M48/$N$5</f>
        <v>116.44353405462677</v>
      </c>
      <c r="O48" s="254">
        <f t="shared" si="0"/>
        <v>-279.3722856832974</v>
      </c>
    </row>
    <row r="49" spans="1:15" ht="15.75">
      <c r="A49" s="92"/>
      <c r="B49" s="27" t="s">
        <v>941</v>
      </c>
      <c r="C49" s="92"/>
      <c r="D49" s="199">
        <f>+D47-D48</f>
        <v>212634.91987363098</v>
      </c>
      <c r="E49" s="180">
        <f t="shared" si="3"/>
        <v>210.90114525356785</v>
      </c>
      <c r="F49" s="241"/>
      <c r="G49" s="199">
        <f>+G47-G48</f>
        <v>219132.38738522067</v>
      </c>
      <c r="H49" s="226">
        <f>+G49/$H$5</f>
        <v>217.34563395869915</v>
      </c>
      <c r="I49" s="241"/>
      <c r="J49" s="199">
        <f>+J47-J48</f>
        <v>60217.21626030181</v>
      </c>
      <c r="K49" s="226">
        <f>+J49/$K$5</f>
        <v>238.9048775399067</v>
      </c>
      <c r="L49" s="241"/>
      <c r="M49" s="199">
        <f>+M47-M48</f>
        <v>61542.48768742163</v>
      </c>
      <c r="N49" s="226">
        <f>+M49/$N$5</f>
        <v>249.53479832151683</v>
      </c>
      <c r="O49" s="255">
        <f t="shared" si="0"/>
        <v>1325.2714271198201</v>
      </c>
    </row>
    <row r="50" spans="1:15" ht="16.5" thickBot="1">
      <c r="A50" s="35" t="s">
        <v>955</v>
      </c>
      <c r="B50" s="257"/>
      <c r="C50" s="257"/>
      <c r="D50" s="183">
        <f>+D5-D47</f>
        <v>10891.062116637302</v>
      </c>
      <c r="E50" s="258"/>
      <c r="F50" s="242"/>
      <c r="G50" s="243">
        <f>+G5-G47</f>
        <v>9415.141474925622</v>
      </c>
      <c r="H50" s="244"/>
      <c r="I50" s="242"/>
      <c r="J50" s="243">
        <f>+J5-J47</f>
        <v>5824.275446172571</v>
      </c>
      <c r="K50" s="244"/>
      <c r="L50" s="242"/>
      <c r="M50" s="243">
        <f>+M5-M47</f>
        <v>2969.8229924724</v>
      </c>
      <c r="N50" s="244"/>
      <c r="O50" s="256">
        <f t="shared" si="0"/>
        <v>-2854.4524537001707</v>
      </c>
    </row>
    <row r="51" spans="1:5" ht="15">
      <c r="A51"/>
      <c r="B51"/>
      <c r="C51"/>
      <c r="D51"/>
      <c r="E51"/>
    </row>
    <row r="52" spans="1:5" ht="15">
      <c r="A52"/>
      <c r="B52"/>
      <c r="C52"/>
      <c r="D52"/>
      <c r="E52"/>
    </row>
    <row r="53" spans="1:5" ht="15">
      <c r="A53"/>
      <c r="B53"/>
      <c r="C53"/>
      <c r="D53"/>
      <c r="E53"/>
    </row>
    <row r="54" spans="1:5" ht="15">
      <c r="A54"/>
      <c r="B54"/>
      <c r="C54"/>
      <c r="D54"/>
      <c r="E54"/>
    </row>
    <row r="55" spans="1:5" ht="15">
      <c r="A55"/>
      <c r="B55"/>
      <c r="C55"/>
      <c r="D55"/>
      <c r="E55"/>
    </row>
    <row r="56" spans="1:5" ht="15">
      <c r="A56"/>
      <c r="B56"/>
      <c r="C56"/>
      <c r="D56"/>
      <c r="E56"/>
    </row>
    <row r="57" spans="1:5" ht="15">
      <c r="A57"/>
      <c r="B57"/>
      <c r="C57"/>
      <c r="D57"/>
      <c r="E57"/>
    </row>
    <row r="58" spans="1:5" ht="15">
      <c r="A58"/>
      <c r="B58"/>
      <c r="C58"/>
      <c r="D58"/>
      <c r="E58"/>
    </row>
  </sheetData>
  <mergeCells count="4">
    <mergeCell ref="L1:N1"/>
    <mergeCell ref="B1:E1"/>
    <mergeCell ref="F1:H1"/>
    <mergeCell ref="I1:K1"/>
  </mergeCells>
  <printOptions horizontalCentered="1" verticalCentered="1"/>
  <pageMargins left="0.7874015748031497" right="0.7874015748031497" top="0.94" bottom="0.86" header="0.5118110236220472" footer="0.5118110236220472"/>
  <pageSetup fitToHeight="1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7"/>
  <dimension ref="A1:H10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5.7109375" style="0" customWidth="1"/>
    <col min="3" max="3" width="8.57421875" style="0" bestFit="1" customWidth="1"/>
    <col min="4" max="4" width="20.421875" style="0" bestFit="1" customWidth="1"/>
    <col min="7" max="7" width="10.28125" style="0" bestFit="1" customWidth="1"/>
  </cols>
  <sheetData>
    <row r="1" spans="1:8" s="43" customFormat="1" ht="12.75">
      <c r="A1" s="50" t="s">
        <v>0</v>
      </c>
      <c r="B1" s="50" t="s">
        <v>1</v>
      </c>
      <c r="C1" s="50" t="s">
        <v>230</v>
      </c>
      <c r="D1" s="50" t="s">
        <v>3</v>
      </c>
      <c r="E1" s="50" t="s">
        <v>229</v>
      </c>
      <c r="F1" s="50" t="s">
        <v>228</v>
      </c>
      <c r="G1" s="44" t="s">
        <v>227</v>
      </c>
      <c r="H1" s="50" t="s">
        <v>14</v>
      </c>
    </row>
    <row r="2" spans="1:8" s="50" customFormat="1" ht="12.75">
      <c r="A2" s="44" t="s">
        <v>79</v>
      </c>
      <c r="B2" s="45" t="s">
        <v>549</v>
      </c>
      <c r="C2" s="44" t="s">
        <v>226</v>
      </c>
      <c r="D2" s="44" t="s">
        <v>224</v>
      </c>
      <c r="E2" s="54">
        <v>7.83</v>
      </c>
      <c r="F2" s="55">
        <v>28000</v>
      </c>
      <c r="G2" s="55">
        <f aca="true" t="shared" si="0" ref="G2:G7">+F2*E2</f>
        <v>219240</v>
      </c>
      <c r="H2" s="44" t="s">
        <v>16</v>
      </c>
    </row>
    <row r="3" spans="1:8" s="50" customFormat="1" ht="12.75">
      <c r="A3" s="44" t="s">
        <v>79</v>
      </c>
      <c r="B3" s="45" t="s">
        <v>549</v>
      </c>
      <c r="C3" s="44" t="s">
        <v>225</v>
      </c>
      <c r="D3" s="44" t="s">
        <v>224</v>
      </c>
      <c r="E3" s="54">
        <v>15.65</v>
      </c>
      <c r="F3" s="55">
        <v>28000</v>
      </c>
      <c r="G3" s="55">
        <f t="shared" si="0"/>
        <v>438200</v>
      </c>
      <c r="H3" s="44" t="s">
        <v>124</v>
      </c>
    </row>
    <row r="4" spans="1:8" s="50" customFormat="1" ht="12.75">
      <c r="A4" s="44" t="s">
        <v>79</v>
      </c>
      <c r="B4" s="45" t="s">
        <v>549</v>
      </c>
      <c r="C4" s="44" t="s">
        <v>223</v>
      </c>
      <c r="D4" s="44" t="s">
        <v>221</v>
      </c>
      <c r="E4" s="54">
        <v>5.42</v>
      </c>
      <c r="F4" s="55">
        <v>28000</v>
      </c>
      <c r="G4" s="55">
        <f t="shared" si="0"/>
        <v>151760</v>
      </c>
      <c r="H4" s="44" t="s">
        <v>16</v>
      </c>
    </row>
    <row r="5" spans="1:8" s="50" customFormat="1" ht="12.75">
      <c r="A5" s="44" t="s">
        <v>79</v>
      </c>
      <c r="B5" s="45" t="s">
        <v>549</v>
      </c>
      <c r="C5" s="44" t="s">
        <v>222</v>
      </c>
      <c r="D5" s="44" t="s">
        <v>221</v>
      </c>
      <c r="E5" s="54">
        <v>10.83</v>
      </c>
      <c r="F5" s="55">
        <v>28000</v>
      </c>
      <c r="G5" s="55">
        <f t="shared" si="0"/>
        <v>303240</v>
      </c>
      <c r="H5" s="44" t="s">
        <v>124</v>
      </c>
    </row>
    <row r="6" spans="1:8" s="50" customFormat="1" ht="12.75">
      <c r="A6" s="44" t="s">
        <v>79</v>
      </c>
      <c r="B6" s="45" t="s">
        <v>549</v>
      </c>
      <c r="C6" s="44" t="s">
        <v>220</v>
      </c>
      <c r="D6" s="44" t="s">
        <v>218</v>
      </c>
      <c r="E6" s="54">
        <v>1.01</v>
      </c>
      <c r="F6" s="55">
        <v>9000</v>
      </c>
      <c r="G6" s="55">
        <f t="shared" si="0"/>
        <v>9090</v>
      </c>
      <c r="H6" s="44" t="s">
        <v>16</v>
      </c>
    </row>
    <row r="7" spans="1:8" s="50" customFormat="1" ht="12.75">
      <c r="A7" s="44" t="s">
        <v>79</v>
      </c>
      <c r="B7" s="45" t="s">
        <v>549</v>
      </c>
      <c r="C7" s="44" t="s">
        <v>219</v>
      </c>
      <c r="D7" s="44" t="s">
        <v>218</v>
      </c>
      <c r="E7" s="54">
        <v>2.02</v>
      </c>
      <c r="F7" s="55">
        <v>9000</v>
      </c>
      <c r="G7" s="55">
        <f t="shared" si="0"/>
        <v>18180</v>
      </c>
      <c r="H7" s="44" t="s">
        <v>124</v>
      </c>
    </row>
    <row r="8" spans="1:8" s="50" customFormat="1" ht="12.75">
      <c r="A8" s="44"/>
      <c r="B8" s="44"/>
      <c r="C8" s="44"/>
      <c r="D8" s="44" t="s">
        <v>915</v>
      </c>
      <c r="E8" s="44"/>
      <c r="G8" s="55">
        <f>+G2+G4+G6</f>
        <v>380090</v>
      </c>
      <c r="H8" s="55">
        <f>+G8*0.01</f>
        <v>3800.9</v>
      </c>
    </row>
    <row r="9" spans="4:7" ht="12.75">
      <c r="D9" t="s">
        <v>916</v>
      </c>
      <c r="G9" s="55">
        <f>+G3+G5+G7</f>
        <v>759620</v>
      </c>
    </row>
    <row r="10" ht="12.75">
      <c r="G10" s="196">
        <f>+G8+G9</f>
        <v>1139710</v>
      </c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8"/>
  <dimension ref="A1:E36"/>
  <sheetViews>
    <sheetView workbookViewId="0" topLeftCell="A1">
      <selection activeCell="A1" sqref="A1"/>
    </sheetView>
  </sheetViews>
  <sheetFormatPr defaultColWidth="9.140625" defaultRowHeight="12.75"/>
  <cols>
    <col min="1" max="1" width="7.28125" style="7" customWidth="1"/>
    <col min="2" max="5" width="9.57421875" style="7" bestFit="1" customWidth="1"/>
  </cols>
  <sheetData>
    <row r="1" spans="1:5" ht="12.75">
      <c r="A1" s="7" t="s">
        <v>551</v>
      </c>
      <c r="B1" s="7" t="s">
        <v>463</v>
      </c>
      <c r="C1" s="7" t="s">
        <v>464</v>
      </c>
      <c r="D1" s="7" t="s">
        <v>552</v>
      </c>
      <c r="E1" s="7" t="s">
        <v>553</v>
      </c>
    </row>
    <row r="2" spans="1:5" ht="12.75">
      <c r="A2" s="7">
        <v>1966</v>
      </c>
      <c r="B2" s="51">
        <f>+D2/D$36</f>
        <v>0.05237595460213412</v>
      </c>
      <c r="C2" s="51">
        <f aca="true" t="shared" si="0" ref="C2:C36">+E2/E$36</f>
        <v>0.05114212888603893</v>
      </c>
      <c r="D2" s="53">
        <v>7.866868381240545</v>
      </c>
      <c r="E2" s="53">
        <v>6.8172457805089905</v>
      </c>
    </row>
    <row r="3" spans="1:5" ht="12.75">
      <c r="A3" s="7">
        <v>1967</v>
      </c>
      <c r="B3" s="51">
        <f aca="true" t="shared" si="1" ref="B3:B36">+D3/D$36</f>
        <v>0.05287956955023158</v>
      </c>
      <c r="C3" s="51">
        <f t="shared" si="0"/>
        <v>0.05163388012532777</v>
      </c>
      <c r="D3" s="53">
        <v>7.942511346444782</v>
      </c>
      <c r="E3" s="53">
        <v>6.882796220706192</v>
      </c>
    </row>
    <row r="4" spans="1:5" ht="12.75">
      <c r="A4" s="7">
        <v>1968</v>
      </c>
      <c r="B4" s="51">
        <f t="shared" si="1"/>
        <v>0.053131377024280294</v>
      </c>
      <c r="C4" s="51">
        <f t="shared" si="0"/>
        <v>0.05187975574497218</v>
      </c>
      <c r="D4" s="53">
        <v>7.980332829046899</v>
      </c>
      <c r="E4" s="53">
        <v>6.915571440804793</v>
      </c>
    </row>
    <row r="5" spans="1:5" ht="12.75">
      <c r="A5" s="7">
        <v>1969</v>
      </c>
      <c r="B5" s="51">
        <f t="shared" si="1"/>
        <v>0.05338318449832901</v>
      </c>
      <c r="C5" s="51">
        <f t="shared" si="0"/>
        <v>0.0521256313646166</v>
      </c>
      <c r="D5" s="53">
        <v>8.018154311649017</v>
      </c>
      <c r="E5" s="53">
        <v>6.948346660903393</v>
      </c>
    </row>
    <row r="6" spans="1:5" ht="12.75">
      <c r="A6" s="7">
        <v>1970</v>
      </c>
      <c r="B6" s="51">
        <f t="shared" si="1"/>
        <v>0.057915719031206</v>
      </c>
      <c r="C6" s="51">
        <f t="shared" si="0"/>
        <v>0.05591825575067756</v>
      </c>
      <c r="D6" s="53">
        <v>8.69894099848714</v>
      </c>
      <c r="E6" s="53">
        <v>7.4539034915653195</v>
      </c>
    </row>
    <row r="7" spans="1:5" ht="12.75">
      <c r="A7" s="7">
        <v>1971</v>
      </c>
      <c r="B7" s="51">
        <f t="shared" si="1"/>
        <v>0.06295186851218043</v>
      </c>
      <c r="C7" s="51">
        <f t="shared" si="0"/>
        <v>0.05915562845203259</v>
      </c>
      <c r="D7" s="53">
        <v>9.4553706505295</v>
      </c>
      <c r="E7" s="53">
        <v>7.885445272655945</v>
      </c>
    </row>
    <row r="8" spans="1:5" ht="12.75">
      <c r="A8" s="7">
        <v>1972</v>
      </c>
      <c r="B8" s="51">
        <f t="shared" si="1"/>
        <v>0.06496632830457022</v>
      </c>
      <c r="C8" s="51">
        <f t="shared" si="0"/>
        <v>0.06180438793495941</v>
      </c>
      <c r="D8" s="53">
        <v>9.757942511346446</v>
      </c>
      <c r="E8" s="53">
        <v>8.23852491173009</v>
      </c>
    </row>
    <row r="9" spans="1:5" ht="12.75">
      <c r="A9" s="7">
        <v>1973</v>
      </c>
      <c r="B9" s="51">
        <f t="shared" si="1"/>
        <v>0.07201693757793443</v>
      </c>
      <c r="C9" s="51">
        <f t="shared" si="0"/>
        <v>0.07622541178644994</v>
      </c>
      <c r="D9" s="53">
        <v>10.81694402420575</v>
      </c>
      <c r="E9" s="53">
        <v>10.160847391133778</v>
      </c>
    </row>
    <row r="10" spans="1:5" ht="12.75">
      <c r="A10" s="7">
        <v>1974</v>
      </c>
      <c r="B10" s="51">
        <f t="shared" si="1"/>
        <v>0.09342057287207578</v>
      </c>
      <c r="C10" s="51">
        <f t="shared" si="0"/>
        <v>0.09800410086829277</v>
      </c>
      <c r="D10" s="53">
        <v>14.03177004538578</v>
      </c>
      <c r="E10" s="53">
        <v>13.063946645743426</v>
      </c>
    </row>
    <row r="11" spans="1:5" ht="12.75">
      <c r="A11" s="7">
        <v>1975</v>
      </c>
      <c r="B11" s="51">
        <f t="shared" si="1"/>
        <v>0.11709047543265562</v>
      </c>
      <c r="C11" s="51">
        <f t="shared" si="0"/>
        <v>0.11713403046720879</v>
      </c>
      <c r="D11" s="53">
        <v>17.586989409984874</v>
      </c>
      <c r="E11" s="53">
        <v>15.613966261278932</v>
      </c>
    </row>
    <row r="12" spans="1:5" ht="12.75">
      <c r="A12" s="7">
        <v>1976</v>
      </c>
      <c r="B12" s="51">
        <f t="shared" si="1"/>
        <v>0.13622784346035846</v>
      </c>
      <c r="C12" s="51">
        <f t="shared" si="0"/>
        <v>0.14067855920433617</v>
      </c>
      <c r="D12" s="53">
        <v>20.461422087745838</v>
      </c>
      <c r="E12" s="53">
        <v>18.752451941938013</v>
      </c>
    </row>
    <row r="13" spans="1:5" ht="12.75">
      <c r="A13" s="7">
        <v>1977</v>
      </c>
      <c r="B13" s="51">
        <f t="shared" si="1"/>
        <v>0.16166039833927937</v>
      </c>
      <c r="C13" s="51">
        <f t="shared" si="0"/>
        <v>0.17187505978103</v>
      </c>
      <c r="D13" s="53">
        <v>24.28139183055976</v>
      </c>
      <c r="E13" s="53">
        <v>22.9109454688113</v>
      </c>
    </row>
    <row r="14" spans="1:5" ht="12.75">
      <c r="A14" s="7">
        <v>1978</v>
      </c>
      <c r="B14" s="51">
        <f t="shared" si="1"/>
        <v>0.18104957384103096</v>
      </c>
      <c r="C14" s="51">
        <f t="shared" si="0"/>
        <v>0.197479734782656</v>
      </c>
      <c r="D14" s="53">
        <v>27.19364599092285</v>
      </c>
      <c r="E14" s="53">
        <v>26.32404864652805</v>
      </c>
    </row>
    <row r="15" spans="1:5" ht="12.75">
      <c r="A15" s="7">
        <v>1979</v>
      </c>
      <c r="B15" s="51">
        <f t="shared" si="1"/>
        <v>0.21453996788951096</v>
      </c>
      <c r="C15" s="51">
        <f t="shared" si="0"/>
        <v>0.23573959398048805</v>
      </c>
      <c r="D15" s="53">
        <v>32.223903177004544</v>
      </c>
      <c r="E15" s="53">
        <v>31.42408787759906</v>
      </c>
    </row>
    <row r="16" spans="1:5" ht="12.75">
      <c r="A16" s="7">
        <v>1980</v>
      </c>
      <c r="B16" s="51">
        <f t="shared" si="1"/>
        <v>0.2518074740487217</v>
      </c>
      <c r="C16" s="51">
        <f t="shared" si="0"/>
        <v>0.29430660921409246</v>
      </c>
      <c r="D16" s="53">
        <v>37.821482602118</v>
      </c>
      <c r="E16" s="53">
        <v>39.23107100823853</v>
      </c>
    </row>
    <row r="17" spans="1:5" ht="12.75">
      <c r="A17" s="7">
        <v>1981</v>
      </c>
      <c r="B17" s="51">
        <f t="shared" si="1"/>
        <v>0.2963773969553455</v>
      </c>
      <c r="C17" s="51">
        <f t="shared" si="0"/>
        <v>0.36464588881626053</v>
      </c>
      <c r="D17" s="53">
        <v>44.51588502269289</v>
      </c>
      <c r="E17" s="53">
        <v>48.60729697920753</v>
      </c>
    </row>
    <row r="18" spans="1:5" ht="12.75">
      <c r="A18" s="7">
        <v>1982</v>
      </c>
      <c r="B18" s="51">
        <f t="shared" si="1"/>
        <v>0.3291123685816793</v>
      </c>
      <c r="C18" s="51">
        <f t="shared" si="0"/>
        <v>0.43616239485528496</v>
      </c>
      <c r="D18" s="53">
        <v>49.432677760968225</v>
      </c>
      <c r="E18" s="53">
        <v>58.14044723420949</v>
      </c>
    </row>
    <row r="19" spans="1:5" ht="12.75">
      <c r="A19" s="7">
        <v>1983</v>
      </c>
      <c r="B19" s="51">
        <f t="shared" si="1"/>
        <v>0.3756967512806928</v>
      </c>
      <c r="C19" s="51">
        <f t="shared" si="0"/>
        <v>0.4914920373875343</v>
      </c>
      <c r="D19" s="53">
        <v>56.429652042360054</v>
      </c>
      <c r="E19" s="53">
        <v>65.51588858375833</v>
      </c>
    </row>
    <row r="20" spans="1:5" ht="12.75">
      <c r="A20" s="7">
        <v>1984</v>
      </c>
      <c r="B20" s="51">
        <f t="shared" si="1"/>
        <v>0.46559201951608653</v>
      </c>
      <c r="C20" s="51">
        <f t="shared" si="0"/>
        <v>0.5173910189983746</v>
      </c>
      <c r="D20" s="53">
        <v>69.93192133131619</v>
      </c>
      <c r="E20" s="53">
        <v>68.96822283248333</v>
      </c>
    </row>
    <row r="21" spans="1:5" ht="12.75">
      <c r="A21" s="7">
        <v>1985</v>
      </c>
      <c r="B21" s="51">
        <f t="shared" si="1"/>
        <v>0.5046221779936384</v>
      </c>
      <c r="C21" s="51">
        <f t="shared" si="0"/>
        <v>0.563891463254201</v>
      </c>
      <c r="D21" s="53">
        <v>75.79425113464448</v>
      </c>
      <c r="E21" s="53">
        <v>75.166732051785</v>
      </c>
    </row>
    <row r="22" spans="1:5" ht="12.75">
      <c r="A22" s="7">
        <v>1986</v>
      </c>
      <c r="B22" s="51">
        <f t="shared" si="1"/>
        <v>0.5396234168864108</v>
      </c>
      <c r="C22" s="51">
        <f t="shared" si="0"/>
        <v>0.5839043126807594</v>
      </c>
      <c r="D22" s="53">
        <v>81.0514372163389</v>
      </c>
      <c r="E22" s="53">
        <v>77.83444488034523</v>
      </c>
    </row>
    <row r="23" spans="1:5" ht="12.75">
      <c r="A23" s="7">
        <v>1987</v>
      </c>
      <c r="B23" s="51">
        <f t="shared" si="1"/>
        <v>0.5580053624919674</v>
      </c>
      <c r="C23" s="51">
        <f t="shared" si="0"/>
        <v>0.6053886951533881</v>
      </c>
      <c r="D23" s="53">
        <v>83.8124054462935</v>
      </c>
      <c r="E23" s="53">
        <v>80.69831306394664</v>
      </c>
    </row>
    <row r="24" spans="1:5" ht="12.75">
      <c r="A24" s="7">
        <v>1988</v>
      </c>
      <c r="B24" s="51">
        <f t="shared" si="1"/>
        <v>0.5925029864366423</v>
      </c>
      <c r="C24" s="51">
        <f t="shared" si="0"/>
        <v>0.6471802336617893</v>
      </c>
      <c r="D24" s="53">
        <v>88.99394856278367</v>
      </c>
      <c r="E24" s="53">
        <v>86.26912514711653</v>
      </c>
    </row>
    <row r="25" spans="1:5" ht="12.75">
      <c r="A25" s="7">
        <v>1989</v>
      </c>
      <c r="B25" s="51">
        <f t="shared" si="1"/>
        <v>0.6322885673363403</v>
      </c>
      <c r="C25" s="51">
        <f t="shared" si="0"/>
        <v>0.683968559813551</v>
      </c>
      <c r="D25" s="53">
        <v>94.96974281391832</v>
      </c>
      <c r="E25" s="53">
        <v>91.17300902314635</v>
      </c>
    </row>
    <row r="26" spans="1:5" ht="12.75">
      <c r="A26" s="7">
        <v>1990</v>
      </c>
      <c r="B26" s="51">
        <f t="shared" si="1"/>
        <v>0.6657789613848203</v>
      </c>
      <c r="C26" s="51">
        <f t="shared" si="0"/>
        <v>0.7501875468867216</v>
      </c>
      <c r="D26" s="53">
        <v>100</v>
      </c>
      <c r="E26" s="53">
        <v>100</v>
      </c>
    </row>
    <row r="27" spans="1:5" ht="12.75">
      <c r="A27" s="7">
        <v>1991</v>
      </c>
      <c r="B27" s="51">
        <f t="shared" si="1"/>
        <v>0.6929741685820822</v>
      </c>
      <c r="C27" s="51">
        <f t="shared" si="0"/>
        <v>0.8187609868336051</v>
      </c>
      <c r="D27" s="53">
        <v>104.08472012102874</v>
      </c>
      <c r="E27" s="53">
        <v>109.14083954491957</v>
      </c>
    </row>
    <row r="28" spans="1:5" ht="12.75">
      <c r="A28" s="7">
        <v>1992</v>
      </c>
      <c r="B28" s="51">
        <f t="shared" si="1"/>
        <v>0.741011984021305</v>
      </c>
      <c r="C28" s="51">
        <f t="shared" si="0"/>
        <v>0.8522130532633158</v>
      </c>
      <c r="D28" s="53">
        <v>111.3</v>
      </c>
      <c r="E28" s="53">
        <v>113.6</v>
      </c>
    </row>
    <row r="29" spans="1:5" ht="12.75">
      <c r="A29" s="7">
        <v>1993</v>
      </c>
      <c r="B29" s="51">
        <f t="shared" si="1"/>
        <v>0.7876165113182424</v>
      </c>
      <c r="C29" s="51">
        <f t="shared" si="0"/>
        <v>0.8777194298574643</v>
      </c>
      <c r="D29" s="53">
        <v>118.3</v>
      </c>
      <c r="E29" s="53">
        <v>117</v>
      </c>
    </row>
    <row r="30" spans="1:5" ht="12.75">
      <c r="A30" s="7">
        <v>1994</v>
      </c>
      <c r="B30" s="51">
        <f t="shared" si="1"/>
        <v>0.8169107856191745</v>
      </c>
      <c r="C30" s="51">
        <f t="shared" si="0"/>
        <v>0.9077269317329332</v>
      </c>
      <c r="D30" s="53">
        <v>122.7</v>
      </c>
      <c r="E30" s="53">
        <v>121</v>
      </c>
    </row>
    <row r="31" spans="1:5" ht="12.75">
      <c r="A31" s="7">
        <v>1995</v>
      </c>
      <c r="B31" s="51">
        <f t="shared" si="1"/>
        <v>0.8794940079893475</v>
      </c>
      <c r="C31" s="51">
        <f t="shared" si="0"/>
        <v>0.9279819954988746</v>
      </c>
      <c r="D31" s="53">
        <v>132.1</v>
      </c>
      <c r="E31" s="53">
        <v>123.7</v>
      </c>
    </row>
    <row r="32" spans="1:5" ht="12.75">
      <c r="A32" s="7">
        <v>1996</v>
      </c>
      <c r="B32" s="51">
        <f t="shared" si="1"/>
        <v>0.9420772303595207</v>
      </c>
      <c r="C32" s="51">
        <f t="shared" si="0"/>
        <v>0.9444861215303826</v>
      </c>
      <c r="D32" s="53">
        <v>141.5</v>
      </c>
      <c r="E32" s="53">
        <v>125.9</v>
      </c>
    </row>
    <row r="33" spans="1:5" ht="12.75">
      <c r="A33" s="7">
        <v>1997</v>
      </c>
      <c r="B33" s="51">
        <f t="shared" si="1"/>
        <v>0.9733688415446072</v>
      </c>
      <c r="C33" s="51">
        <f t="shared" si="0"/>
        <v>0.9707426856714179</v>
      </c>
      <c r="D33" s="53">
        <v>146.2</v>
      </c>
      <c r="E33" s="53">
        <v>129.4</v>
      </c>
    </row>
    <row r="34" spans="1:5" ht="12.75">
      <c r="A34" s="7">
        <v>1998</v>
      </c>
      <c r="B34" s="51">
        <f t="shared" si="1"/>
        <v>0.9880159786950733</v>
      </c>
      <c r="C34" s="51">
        <f t="shared" si="0"/>
        <v>0.9647411852963239</v>
      </c>
      <c r="D34" s="53">
        <v>148.4</v>
      </c>
      <c r="E34" s="53">
        <v>128.6</v>
      </c>
    </row>
    <row r="35" spans="1:5" ht="12.75">
      <c r="A35" s="7">
        <v>1999</v>
      </c>
      <c r="B35" s="51">
        <f t="shared" si="1"/>
        <v>0.9919551708832667</v>
      </c>
      <c r="C35" s="51">
        <f t="shared" si="0"/>
        <v>0.9776819204801198</v>
      </c>
      <c r="D35" s="53">
        <v>148.99166666666665</v>
      </c>
      <c r="E35" s="53">
        <v>130.325</v>
      </c>
    </row>
    <row r="36" spans="1:5" ht="12.75">
      <c r="A36" s="7">
        <v>2000</v>
      </c>
      <c r="B36" s="51">
        <f t="shared" si="1"/>
        <v>1</v>
      </c>
      <c r="C36" s="51">
        <f t="shared" si="0"/>
        <v>1</v>
      </c>
      <c r="D36" s="53">
        <v>150.2</v>
      </c>
      <c r="E36" s="53">
        <v>133.3</v>
      </c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9">
    <pageSetUpPr fitToPage="1"/>
  </sheetPr>
  <dimension ref="A1:P45"/>
  <sheetViews>
    <sheetView workbookViewId="0" topLeftCell="A1">
      <selection activeCell="B1" sqref="B1"/>
    </sheetView>
  </sheetViews>
  <sheetFormatPr defaultColWidth="9.140625" defaultRowHeight="12.75"/>
  <cols>
    <col min="1" max="1" width="2.7109375" style="1" customWidth="1"/>
    <col min="2" max="2" width="4.7109375" style="1" customWidth="1"/>
    <col min="3" max="3" width="28.8515625" style="1" customWidth="1"/>
    <col min="4" max="4" width="5.8515625" style="1" customWidth="1"/>
    <col min="5" max="5" width="7.8515625" style="1" customWidth="1"/>
    <col min="6" max="6" width="4.7109375" style="1" customWidth="1"/>
    <col min="8" max="8" width="10.140625" style="1" customWidth="1"/>
    <col min="9" max="9" width="11.28125" style="1" customWidth="1"/>
    <col min="10" max="12" width="4.421875" style="1" customWidth="1"/>
    <col min="13" max="13" width="8.57421875" style="1" customWidth="1"/>
    <col min="14" max="14" width="8.7109375" style="1" customWidth="1"/>
    <col min="15" max="16" width="1.7109375" style="1" customWidth="1"/>
  </cols>
  <sheetData>
    <row r="1" spans="1:16" s="50" customFormat="1" ht="12.75">
      <c r="A1" s="44" t="s">
        <v>342</v>
      </c>
      <c r="B1" s="44"/>
      <c r="C1" s="44"/>
      <c r="D1" s="44"/>
      <c r="E1" s="44"/>
      <c r="F1" s="44"/>
      <c r="H1" s="44"/>
      <c r="I1" s="44"/>
      <c r="J1" s="44"/>
      <c r="K1" s="44"/>
      <c r="L1" s="44"/>
      <c r="M1" s="44"/>
      <c r="N1" s="44"/>
      <c r="O1" s="44"/>
      <c r="P1" s="44"/>
    </row>
    <row r="2" spans="1:16" s="50" customFormat="1" ht="12.75">
      <c r="A2" s="44" t="s">
        <v>1</v>
      </c>
      <c r="B2" s="44" t="s">
        <v>137</v>
      </c>
      <c r="C2" s="44" t="s">
        <v>3</v>
      </c>
      <c r="D2" s="44" t="s">
        <v>138</v>
      </c>
      <c r="E2" s="44" t="s">
        <v>338</v>
      </c>
      <c r="F2" s="44" t="s">
        <v>139</v>
      </c>
      <c r="G2" s="50" t="s">
        <v>337</v>
      </c>
      <c r="H2" s="44" t="s">
        <v>140</v>
      </c>
      <c r="I2" s="44" t="s">
        <v>141</v>
      </c>
      <c r="J2" s="44" t="s">
        <v>9</v>
      </c>
      <c r="K2" s="44" t="s">
        <v>10</v>
      </c>
      <c r="L2" s="44" t="s">
        <v>8</v>
      </c>
      <c r="M2" s="44" t="s">
        <v>11</v>
      </c>
      <c r="N2" s="44" t="s">
        <v>12</v>
      </c>
      <c r="O2" s="44" t="s">
        <v>14</v>
      </c>
      <c r="P2" s="44" t="s">
        <v>13</v>
      </c>
    </row>
    <row r="3" spans="1:16" s="50" customFormat="1" ht="12.75">
      <c r="A3" s="45" t="s">
        <v>549</v>
      </c>
      <c r="B3" s="44" t="s">
        <v>142</v>
      </c>
      <c r="C3" s="44" t="s">
        <v>143</v>
      </c>
      <c r="D3" s="44">
        <v>260</v>
      </c>
      <c r="E3" s="46">
        <f>VLOOKUP(F3,coefficienti!A$1:C$36,3)</f>
        <v>0.197479734782656</v>
      </c>
      <c r="F3" s="44">
        <v>1978</v>
      </c>
      <c r="G3" s="50">
        <f>ROUND(I3*E3/100,0)*100</f>
        <v>32800</v>
      </c>
      <c r="H3" s="44">
        <f>+I3/D3</f>
        <v>638.8461538461538</v>
      </c>
      <c r="I3" s="44">
        <v>166100</v>
      </c>
      <c r="J3" s="44">
        <v>25</v>
      </c>
      <c r="K3" s="44">
        <f>2000-F3</f>
        <v>22</v>
      </c>
      <c r="L3" s="44">
        <f>+J3-K3</f>
        <v>3</v>
      </c>
      <c r="M3" s="44">
        <f>+I3/J3</f>
        <v>6644</v>
      </c>
      <c r="N3" s="44">
        <f>+M3*L3</f>
        <v>19932</v>
      </c>
      <c r="O3" s="44" t="s">
        <v>16</v>
      </c>
      <c r="P3" s="44"/>
    </row>
    <row r="4" spans="1:16" s="50" customFormat="1" ht="12.75">
      <c r="A4" s="45" t="s">
        <v>549</v>
      </c>
      <c r="B4" s="44" t="s">
        <v>144</v>
      </c>
      <c r="C4" s="44" t="s">
        <v>145</v>
      </c>
      <c r="D4" s="44">
        <v>320</v>
      </c>
      <c r="E4" s="46">
        <f>VLOOKUP(F4,coefficienti!A$1:C$36,3)</f>
        <v>0.05591825575067756</v>
      </c>
      <c r="F4" s="44">
        <v>1970</v>
      </c>
      <c r="G4" s="50">
        <f aca="true" t="shared" si="0" ref="G4:G13">ROUND(I4*E4/100,0)*100</f>
        <v>1300</v>
      </c>
      <c r="H4" s="44">
        <f aca="true" t="shared" si="1" ref="H4:H13">+I4/D4</f>
        <v>71.25</v>
      </c>
      <c r="I4" s="44">
        <v>22800</v>
      </c>
      <c r="J4" s="44">
        <v>33</v>
      </c>
      <c r="K4" s="44">
        <f aca="true" t="shared" si="2" ref="K4:K13">2000-F4</f>
        <v>30</v>
      </c>
      <c r="L4" s="44">
        <f aca="true" t="shared" si="3" ref="L4:L13">+J4-K4</f>
        <v>3</v>
      </c>
      <c r="M4" s="44">
        <f aca="true" t="shared" si="4" ref="M4:M13">+I4/J4</f>
        <v>690.9090909090909</v>
      </c>
      <c r="N4" s="44">
        <f aca="true" t="shared" si="5" ref="N4:N13">+M4*L4</f>
        <v>2072.7272727272725</v>
      </c>
      <c r="O4" s="44" t="s">
        <v>16</v>
      </c>
      <c r="P4" s="44"/>
    </row>
    <row r="5" spans="1:16" s="50" customFormat="1" ht="12.75">
      <c r="A5" s="45" t="s">
        <v>549</v>
      </c>
      <c r="B5" s="44" t="s">
        <v>146</v>
      </c>
      <c r="C5" s="44" t="s">
        <v>147</v>
      </c>
      <c r="D5" s="44">
        <v>90</v>
      </c>
      <c r="E5" s="46">
        <f>VLOOKUP(F5,coefficienti!A$1:C$36,3)</f>
        <v>0.05591825575067756</v>
      </c>
      <c r="F5" s="44">
        <v>1970</v>
      </c>
      <c r="G5" s="50">
        <f t="shared" si="0"/>
        <v>400</v>
      </c>
      <c r="H5" s="44">
        <f t="shared" si="1"/>
        <v>71.11111111111111</v>
      </c>
      <c r="I5" s="44">
        <v>6400</v>
      </c>
      <c r="J5" s="44">
        <v>33</v>
      </c>
      <c r="K5" s="44">
        <f t="shared" si="2"/>
        <v>30</v>
      </c>
      <c r="L5" s="44">
        <f t="shared" si="3"/>
        <v>3</v>
      </c>
      <c r="M5" s="44">
        <f t="shared" si="4"/>
        <v>193.93939393939394</v>
      </c>
      <c r="N5" s="44">
        <f t="shared" si="5"/>
        <v>581.8181818181818</v>
      </c>
      <c r="O5" s="44" t="s">
        <v>16</v>
      </c>
      <c r="P5" s="44"/>
    </row>
    <row r="6" spans="1:16" s="50" customFormat="1" ht="12.75">
      <c r="A6" s="45" t="s">
        <v>549</v>
      </c>
      <c r="B6" s="44" t="s">
        <v>148</v>
      </c>
      <c r="C6" s="44" t="s">
        <v>927</v>
      </c>
      <c r="D6" s="44">
        <v>728</v>
      </c>
      <c r="E6" s="46">
        <f>VLOOKUP(F6,coefficienti!A$1:C$36,3)</f>
        <v>0.4914920373875343</v>
      </c>
      <c r="F6" s="44">
        <v>1983</v>
      </c>
      <c r="G6" s="50">
        <f t="shared" si="0"/>
        <v>35200</v>
      </c>
      <c r="H6" s="44">
        <f t="shared" si="1"/>
        <v>98.48901098901099</v>
      </c>
      <c r="I6" s="44">
        <v>71700</v>
      </c>
      <c r="J6" s="44">
        <v>30</v>
      </c>
      <c r="K6" s="44">
        <f t="shared" si="2"/>
        <v>17</v>
      </c>
      <c r="L6" s="44">
        <f t="shared" si="3"/>
        <v>13</v>
      </c>
      <c r="M6" s="44">
        <f t="shared" si="4"/>
        <v>2390</v>
      </c>
      <c r="N6" s="44">
        <f t="shared" si="5"/>
        <v>31070</v>
      </c>
      <c r="O6" s="44" t="s">
        <v>16</v>
      </c>
      <c r="P6" s="44"/>
    </row>
    <row r="7" spans="1:16" s="50" customFormat="1" ht="12.75">
      <c r="A7" s="45" t="s">
        <v>549</v>
      </c>
      <c r="B7" s="44" t="s">
        <v>149</v>
      </c>
      <c r="C7" s="44" t="s">
        <v>928</v>
      </c>
      <c r="D7" s="44">
        <v>900</v>
      </c>
      <c r="E7" s="46">
        <f>VLOOKUP(F7,coefficienti!A$1:C$36,3)</f>
        <v>0.05591825575067756</v>
      </c>
      <c r="F7" s="44">
        <v>1970</v>
      </c>
      <c r="G7" s="50">
        <f t="shared" si="0"/>
        <v>5000</v>
      </c>
      <c r="H7" s="44">
        <f t="shared" si="1"/>
        <v>98.55555555555556</v>
      </c>
      <c r="I7" s="44">
        <v>88700</v>
      </c>
      <c r="J7" s="44">
        <v>30</v>
      </c>
      <c r="K7" s="44">
        <f t="shared" si="2"/>
        <v>30</v>
      </c>
      <c r="L7" s="44">
        <f t="shared" si="3"/>
        <v>0</v>
      </c>
      <c r="M7" s="44">
        <f t="shared" si="4"/>
        <v>2956.6666666666665</v>
      </c>
      <c r="N7" s="44">
        <f t="shared" si="5"/>
        <v>0</v>
      </c>
      <c r="O7" s="44" t="s">
        <v>16</v>
      </c>
      <c r="P7" s="44"/>
    </row>
    <row r="8" spans="1:16" s="50" customFormat="1" ht="12.75">
      <c r="A8" s="45" t="s">
        <v>549</v>
      </c>
      <c r="B8" s="44" t="s">
        <v>150</v>
      </c>
      <c r="C8" s="44" t="s">
        <v>929</v>
      </c>
      <c r="D8" s="44">
        <v>1229</v>
      </c>
      <c r="E8" s="46">
        <f>VLOOKUP(F8,coefficienti!A$1:C$36,3)</f>
        <v>0.197479734782656</v>
      </c>
      <c r="F8" s="44">
        <v>1978</v>
      </c>
      <c r="G8" s="50">
        <f t="shared" si="0"/>
        <v>23900</v>
      </c>
      <c r="H8" s="44">
        <f t="shared" si="1"/>
        <v>98.53539462978031</v>
      </c>
      <c r="I8" s="44">
        <v>121100</v>
      </c>
      <c r="J8" s="44">
        <v>30</v>
      </c>
      <c r="K8" s="44">
        <f t="shared" si="2"/>
        <v>22</v>
      </c>
      <c r="L8" s="44">
        <f t="shared" si="3"/>
        <v>8</v>
      </c>
      <c r="M8" s="44">
        <f t="shared" si="4"/>
        <v>4036.6666666666665</v>
      </c>
      <c r="N8" s="44">
        <f t="shared" si="5"/>
        <v>32293.333333333332</v>
      </c>
      <c r="O8" s="44" t="s">
        <v>16</v>
      </c>
      <c r="P8" s="44"/>
    </row>
    <row r="9" spans="1:16" s="50" customFormat="1" ht="12.75">
      <c r="A9" s="45" t="s">
        <v>549</v>
      </c>
      <c r="B9" s="44" t="s">
        <v>151</v>
      </c>
      <c r="C9" s="44" t="s">
        <v>930</v>
      </c>
      <c r="D9" s="44">
        <v>220</v>
      </c>
      <c r="E9" s="46">
        <f>VLOOKUP(F9,coefficienti!A$1:C$36,3)</f>
        <v>0.197479734782656</v>
      </c>
      <c r="F9" s="44">
        <v>1978</v>
      </c>
      <c r="G9" s="50">
        <f t="shared" si="0"/>
        <v>1800</v>
      </c>
      <c r="H9" s="44">
        <f t="shared" si="1"/>
        <v>40.90909090909091</v>
      </c>
      <c r="I9" s="44">
        <v>9000</v>
      </c>
      <c r="J9" s="44">
        <v>25</v>
      </c>
      <c r="K9" s="44">
        <f t="shared" si="2"/>
        <v>22</v>
      </c>
      <c r="L9" s="44">
        <f t="shared" si="3"/>
        <v>3</v>
      </c>
      <c r="M9" s="44">
        <f t="shared" si="4"/>
        <v>360</v>
      </c>
      <c r="N9" s="44">
        <f t="shared" si="5"/>
        <v>1080</v>
      </c>
      <c r="O9" s="44" t="s">
        <v>16</v>
      </c>
      <c r="P9" s="44"/>
    </row>
    <row r="10" spans="1:16" s="50" customFormat="1" ht="12.75">
      <c r="A10" s="45" t="s">
        <v>549</v>
      </c>
      <c r="B10" s="44" t="s">
        <v>152</v>
      </c>
      <c r="C10" s="44" t="s">
        <v>931</v>
      </c>
      <c r="D10" s="44">
        <v>120</v>
      </c>
      <c r="E10" s="46">
        <f>VLOOKUP(F10,coefficienti!A$1:C$36,3)</f>
        <v>0.4914920373875343</v>
      </c>
      <c r="F10" s="44">
        <v>1983</v>
      </c>
      <c r="G10" s="50">
        <f t="shared" si="0"/>
        <v>2400</v>
      </c>
      <c r="H10" s="44">
        <f t="shared" si="1"/>
        <v>40.833333333333336</v>
      </c>
      <c r="I10" s="44">
        <v>4900</v>
      </c>
      <c r="J10" s="44">
        <v>20</v>
      </c>
      <c r="K10" s="44">
        <f t="shared" si="2"/>
        <v>17</v>
      </c>
      <c r="L10" s="44">
        <f t="shared" si="3"/>
        <v>3</v>
      </c>
      <c r="M10" s="44">
        <f t="shared" si="4"/>
        <v>245</v>
      </c>
      <c r="N10" s="44">
        <f t="shared" si="5"/>
        <v>735</v>
      </c>
      <c r="O10" s="44" t="s">
        <v>16</v>
      </c>
      <c r="P10" s="44"/>
    </row>
    <row r="11" spans="1:16" s="50" customFormat="1" ht="12.75">
      <c r="A11" s="45" t="s">
        <v>549</v>
      </c>
      <c r="B11" s="44" t="s">
        <v>153</v>
      </c>
      <c r="C11" s="44" t="s">
        <v>932</v>
      </c>
      <c r="D11" s="44">
        <v>90</v>
      </c>
      <c r="E11" s="46">
        <f>VLOOKUP(F11,coefficienti!A$1:C$36,3)</f>
        <v>0.8777194298574643</v>
      </c>
      <c r="F11" s="44">
        <v>1993</v>
      </c>
      <c r="G11" s="50">
        <f t="shared" si="0"/>
        <v>3200</v>
      </c>
      <c r="H11" s="44">
        <f t="shared" si="1"/>
        <v>41.111111111111114</v>
      </c>
      <c r="I11" s="44">
        <v>3700</v>
      </c>
      <c r="J11" s="44">
        <v>20</v>
      </c>
      <c r="K11" s="44">
        <f t="shared" si="2"/>
        <v>7</v>
      </c>
      <c r="L11" s="44">
        <f t="shared" si="3"/>
        <v>13</v>
      </c>
      <c r="M11" s="44">
        <f t="shared" si="4"/>
        <v>185</v>
      </c>
      <c r="N11" s="44">
        <f t="shared" si="5"/>
        <v>2405</v>
      </c>
      <c r="O11" s="44" t="s">
        <v>16</v>
      </c>
      <c r="P11" s="44"/>
    </row>
    <row r="12" spans="1:16" s="50" customFormat="1" ht="12.75">
      <c r="A12" s="45" t="s">
        <v>549</v>
      </c>
      <c r="B12" s="44" t="s">
        <v>154</v>
      </c>
      <c r="C12" s="44" t="s">
        <v>155</v>
      </c>
      <c r="D12" s="44">
        <v>100</v>
      </c>
      <c r="E12" s="46">
        <f>VLOOKUP(F12,coefficienti!A$1:C$36,3)</f>
        <v>0.05591825575067756</v>
      </c>
      <c r="F12" s="44">
        <v>1970</v>
      </c>
      <c r="G12" s="50">
        <f t="shared" si="0"/>
        <v>300</v>
      </c>
      <c r="H12" s="44">
        <f t="shared" si="1"/>
        <v>49</v>
      </c>
      <c r="I12" s="44">
        <v>4900</v>
      </c>
      <c r="J12" s="44">
        <v>30</v>
      </c>
      <c r="K12" s="44">
        <f t="shared" si="2"/>
        <v>30</v>
      </c>
      <c r="L12" s="44">
        <f t="shared" si="3"/>
        <v>0</v>
      </c>
      <c r="M12" s="44">
        <f t="shared" si="4"/>
        <v>163.33333333333334</v>
      </c>
      <c r="N12" s="44">
        <f t="shared" si="5"/>
        <v>0</v>
      </c>
      <c r="O12" s="44" t="s">
        <v>16</v>
      </c>
      <c r="P12" s="44"/>
    </row>
    <row r="13" spans="1:16" s="50" customFormat="1" ht="12.75">
      <c r="A13" s="45" t="s">
        <v>549</v>
      </c>
      <c r="B13" s="44" t="s">
        <v>156</v>
      </c>
      <c r="C13" s="44" t="s">
        <v>157</v>
      </c>
      <c r="D13" s="44">
        <v>380</v>
      </c>
      <c r="E13" s="46">
        <f>VLOOKUP(F13,coefficienti!A$1:C$36,3)</f>
        <v>0.197479734782656</v>
      </c>
      <c r="F13" s="44">
        <v>1978</v>
      </c>
      <c r="G13" s="50">
        <f t="shared" si="0"/>
        <v>4700</v>
      </c>
      <c r="H13" s="44">
        <f t="shared" si="1"/>
        <v>62.89473684210526</v>
      </c>
      <c r="I13" s="44">
        <v>23900</v>
      </c>
      <c r="J13" s="44">
        <v>25</v>
      </c>
      <c r="K13" s="44">
        <f t="shared" si="2"/>
        <v>22</v>
      </c>
      <c r="L13" s="44">
        <f t="shared" si="3"/>
        <v>3</v>
      </c>
      <c r="M13" s="44">
        <f t="shared" si="4"/>
        <v>956</v>
      </c>
      <c r="N13" s="44">
        <f t="shared" si="5"/>
        <v>2868</v>
      </c>
      <c r="O13" s="44" t="s">
        <v>16</v>
      </c>
      <c r="P13" s="44"/>
    </row>
    <row r="14" spans="1:16" s="50" customFormat="1" ht="12.75">
      <c r="A14" s="44"/>
      <c r="B14" s="44"/>
      <c r="C14" s="44"/>
      <c r="D14" s="44"/>
      <c r="E14" s="44"/>
      <c r="F14" s="44"/>
      <c r="G14" s="50">
        <f>SUM(G3:G13)</f>
        <v>111000</v>
      </c>
      <c r="H14" s="44"/>
      <c r="I14" s="44">
        <f>SUM(I3:I13)</f>
        <v>523200</v>
      </c>
      <c r="J14" s="44"/>
      <c r="K14" s="44"/>
      <c r="L14" s="44"/>
      <c r="M14" s="44">
        <f>SUM(M3:M13)</f>
        <v>18821.51515151515</v>
      </c>
      <c r="N14" s="44">
        <f>SUM(N3:N13)</f>
        <v>93037.87878787878</v>
      </c>
      <c r="O14" s="44"/>
      <c r="P14" s="44"/>
    </row>
    <row r="15" spans="1:16" s="50" customFormat="1" ht="12.75">
      <c r="A15" s="44"/>
      <c r="B15" s="44"/>
      <c r="C15" s="44"/>
      <c r="D15" s="44"/>
      <c r="E15" s="44"/>
      <c r="F15" s="44"/>
      <c r="H15" s="44"/>
      <c r="J15" s="44"/>
      <c r="K15" s="44"/>
      <c r="L15" s="44"/>
      <c r="M15" s="49">
        <f>+M14/I14</f>
        <v>0.035973843944027424</v>
      </c>
      <c r="N15" s="44"/>
      <c r="O15" s="44"/>
      <c r="P15" s="44"/>
    </row>
    <row r="16" spans="1:16" s="50" customFormat="1" ht="12.75">
      <c r="A16" s="44" t="s">
        <v>343</v>
      </c>
      <c r="B16" s="44"/>
      <c r="C16" s="44"/>
      <c r="D16" s="44"/>
      <c r="E16" s="44"/>
      <c r="F16" s="44"/>
      <c r="H16" s="44"/>
      <c r="I16" s="44"/>
      <c r="J16" s="44"/>
      <c r="K16" s="44"/>
      <c r="L16" s="44"/>
      <c r="M16" s="44"/>
      <c r="N16" s="44"/>
      <c r="O16" s="44"/>
      <c r="P16" s="44"/>
    </row>
    <row r="17" spans="1:16" s="50" customFormat="1" ht="12.75">
      <c r="A17" s="44" t="s">
        <v>1</v>
      </c>
      <c r="B17" s="44" t="s">
        <v>137</v>
      </c>
      <c r="C17" s="44" t="s">
        <v>3</v>
      </c>
      <c r="D17" s="44" t="s">
        <v>138</v>
      </c>
      <c r="E17" s="44" t="s">
        <v>338</v>
      </c>
      <c r="F17" s="44" t="s">
        <v>139</v>
      </c>
      <c r="G17" s="50" t="s">
        <v>337</v>
      </c>
      <c r="H17" s="44" t="s">
        <v>140</v>
      </c>
      <c r="I17" s="44" t="s">
        <v>141</v>
      </c>
      <c r="J17" s="44" t="s">
        <v>9</v>
      </c>
      <c r="K17" s="44" t="s">
        <v>10</v>
      </c>
      <c r="L17" s="44" t="s">
        <v>8</v>
      </c>
      <c r="M17" s="44" t="s">
        <v>11</v>
      </c>
      <c r="N17" s="44" t="s">
        <v>12</v>
      </c>
      <c r="O17" s="44" t="s">
        <v>14</v>
      </c>
      <c r="P17" s="44"/>
    </row>
    <row r="18" spans="1:16" s="50" customFormat="1" ht="12.75">
      <c r="A18" s="45" t="s">
        <v>549</v>
      </c>
      <c r="B18" s="44" t="s">
        <v>142</v>
      </c>
      <c r="C18" s="44" t="s">
        <v>143</v>
      </c>
      <c r="D18" s="44">
        <v>260</v>
      </c>
      <c r="E18" s="46">
        <f>VLOOKUP(F18,coefficienti!A$1:C$36,3)</f>
        <v>0.197479734782656</v>
      </c>
      <c r="F18" s="44">
        <v>1978</v>
      </c>
      <c r="G18" s="50">
        <f>ROUND(I18*E18/100,0)*100</f>
        <v>32800</v>
      </c>
      <c r="H18" s="44">
        <f>+I18/D18</f>
        <v>638.8461538461538</v>
      </c>
      <c r="I18" s="44">
        <v>166100</v>
      </c>
      <c r="J18" s="44">
        <v>33.333333333333336</v>
      </c>
      <c r="K18" s="44">
        <f>2000-F18</f>
        <v>22</v>
      </c>
      <c r="L18" s="44">
        <f aca="true" t="shared" si="6" ref="L18:L28">+J18-K18</f>
        <v>11.333333333333336</v>
      </c>
      <c r="M18" s="44">
        <f aca="true" t="shared" si="7" ref="M18:M28">+I18/J18</f>
        <v>4983</v>
      </c>
      <c r="N18" s="44">
        <f aca="true" t="shared" si="8" ref="N18:N28">+M18*L18</f>
        <v>56474.000000000015</v>
      </c>
      <c r="O18" s="44" t="s">
        <v>16</v>
      </c>
      <c r="P18" s="44"/>
    </row>
    <row r="19" spans="1:16" s="50" customFormat="1" ht="12.75">
      <c r="A19" s="45" t="s">
        <v>549</v>
      </c>
      <c r="B19" s="44" t="s">
        <v>144</v>
      </c>
      <c r="C19" s="44" t="s">
        <v>145</v>
      </c>
      <c r="D19" s="44">
        <v>320</v>
      </c>
      <c r="E19" s="46">
        <f>VLOOKUP(F19,coefficienti!A$1:C$36,3)</f>
        <v>0.05591825575067756</v>
      </c>
      <c r="F19" s="44">
        <v>1970</v>
      </c>
      <c r="G19" s="50">
        <f aca="true" t="shared" si="9" ref="G19:G28">ROUND(I19*E19/100,0)*100</f>
        <v>1300</v>
      </c>
      <c r="H19" s="44">
        <f aca="true" t="shared" si="10" ref="H19:H28">+I19/D19</f>
        <v>71.25</v>
      </c>
      <c r="I19" s="44">
        <v>22800</v>
      </c>
      <c r="J19" s="44">
        <v>33.333333333333336</v>
      </c>
      <c r="K19" s="44">
        <f aca="true" t="shared" si="11" ref="K19:K28">2000-F19</f>
        <v>30</v>
      </c>
      <c r="L19" s="44">
        <f t="shared" si="6"/>
        <v>3.3333333333333357</v>
      </c>
      <c r="M19" s="44">
        <f t="shared" si="7"/>
        <v>684</v>
      </c>
      <c r="N19" s="44">
        <f t="shared" si="8"/>
        <v>2280.000000000002</v>
      </c>
      <c r="O19" s="44" t="s">
        <v>16</v>
      </c>
      <c r="P19" s="44"/>
    </row>
    <row r="20" spans="1:16" s="50" customFormat="1" ht="12.75">
      <c r="A20" s="45" t="s">
        <v>549</v>
      </c>
      <c r="B20" s="44" t="s">
        <v>146</v>
      </c>
      <c r="C20" s="44" t="s">
        <v>147</v>
      </c>
      <c r="D20" s="44">
        <v>90</v>
      </c>
      <c r="E20" s="46">
        <f>VLOOKUP(F20,coefficienti!A$1:C$36,3)</f>
        <v>0.05591825575067756</v>
      </c>
      <c r="F20" s="44">
        <v>1970</v>
      </c>
      <c r="G20" s="50">
        <f t="shared" si="9"/>
        <v>400</v>
      </c>
      <c r="H20" s="44">
        <f t="shared" si="10"/>
        <v>71.11111111111111</v>
      </c>
      <c r="I20" s="44">
        <v>6400</v>
      </c>
      <c r="J20" s="44">
        <v>33.333333333333336</v>
      </c>
      <c r="K20" s="44">
        <f t="shared" si="11"/>
        <v>30</v>
      </c>
      <c r="L20" s="44">
        <f t="shared" si="6"/>
        <v>3.3333333333333357</v>
      </c>
      <c r="M20" s="44">
        <f t="shared" si="7"/>
        <v>192</v>
      </c>
      <c r="N20" s="44">
        <f t="shared" si="8"/>
        <v>640.0000000000005</v>
      </c>
      <c r="O20" s="44" t="s">
        <v>16</v>
      </c>
      <c r="P20" s="44"/>
    </row>
    <row r="21" spans="1:16" s="50" customFormat="1" ht="12.75">
      <c r="A21" s="45" t="s">
        <v>549</v>
      </c>
      <c r="B21" s="44" t="s">
        <v>148</v>
      </c>
      <c r="C21" s="44" t="s">
        <v>927</v>
      </c>
      <c r="D21" s="44">
        <v>728</v>
      </c>
      <c r="E21" s="46">
        <f>VLOOKUP(F21,coefficienti!A$1:C$36,3)</f>
        <v>0.4914920373875343</v>
      </c>
      <c r="F21" s="44">
        <v>1983</v>
      </c>
      <c r="G21" s="50">
        <f t="shared" si="9"/>
        <v>35200</v>
      </c>
      <c r="H21" s="44">
        <f t="shared" si="10"/>
        <v>98.48901098901099</v>
      </c>
      <c r="I21" s="44">
        <v>71700</v>
      </c>
      <c r="J21" s="44">
        <v>33.333333333333336</v>
      </c>
      <c r="K21" s="44">
        <f t="shared" si="11"/>
        <v>17</v>
      </c>
      <c r="L21" s="44">
        <f t="shared" si="6"/>
        <v>16.333333333333336</v>
      </c>
      <c r="M21" s="44">
        <f t="shared" si="7"/>
        <v>2151</v>
      </c>
      <c r="N21" s="44">
        <f t="shared" si="8"/>
        <v>35133.00000000001</v>
      </c>
      <c r="O21" s="44" t="s">
        <v>16</v>
      </c>
      <c r="P21" s="44"/>
    </row>
    <row r="22" spans="1:16" s="50" customFormat="1" ht="12.75">
      <c r="A22" s="45" t="s">
        <v>549</v>
      </c>
      <c r="B22" s="44" t="s">
        <v>149</v>
      </c>
      <c r="C22" s="44" t="s">
        <v>928</v>
      </c>
      <c r="D22" s="44">
        <v>900</v>
      </c>
      <c r="E22" s="46">
        <f>VLOOKUP(F22,coefficienti!A$1:C$36,3)</f>
        <v>0.05591825575067756</v>
      </c>
      <c r="F22" s="44">
        <v>1970</v>
      </c>
      <c r="G22" s="50">
        <f t="shared" si="9"/>
        <v>5000</v>
      </c>
      <c r="H22" s="44">
        <f t="shared" si="10"/>
        <v>98.55555555555556</v>
      </c>
      <c r="I22" s="44">
        <v>88700</v>
      </c>
      <c r="J22" s="44">
        <v>33.333333333333336</v>
      </c>
      <c r="K22" s="44">
        <f t="shared" si="11"/>
        <v>30</v>
      </c>
      <c r="L22" s="44">
        <f t="shared" si="6"/>
        <v>3.3333333333333357</v>
      </c>
      <c r="M22" s="44">
        <f t="shared" si="7"/>
        <v>2661</v>
      </c>
      <c r="N22" s="44">
        <f t="shared" si="8"/>
        <v>8870.000000000005</v>
      </c>
      <c r="O22" s="44" t="s">
        <v>16</v>
      </c>
      <c r="P22" s="44"/>
    </row>
    <row r="23" spans="1:16" s="50" customFormat="1" ht="12.75">
      <c r="A23" s="45" t="s">
        <v>549</v>
      </c>
      <c r="B23" s="44" t="s">
        <v>150</v>
      </c>
      <c r="C23" s="44" t="s">
        <v>929</v>
      </c>
      <c r="D23" s="44">
        <v>1229</v>
      </c>
      <c r="E23" s="46">
        <f>VLOOKUP(F23,coefficienti!A$1:C$36,3)</f>
        <v>0.197479734782656</v>
      </c>
      <c r="F23" s="44">
        <v>1978</v>
      </c>
      <c r="G23" s="50">
        <f t="shared" si="9"/>
        <v>23900</v>
      </c>
      <c r="H23" s="44">
        <f t="shared" si="10"/>
        <v>98.53539462978031</v>
      </c>
      <c r="I23" s="44">
        <v>121100</v>
      </c>
      <c r="J23" s="44">
        <v>33.333333333333336</v>
      </c>
      <c r="K23" s="44">
        <f t="shared" si="11"/>
        <v>22</v>
      </c>
      <c r="L23" s="44">
        <f t="shared" si="6"/>
        <v>11.333333333333336</v>
      </c>
      <c r="M23" s="44">
        <f t="shared" si="7"/>
        <v>3632.9999999999995</v>
      </c>
      <c r="N23" s="44">
        <f t="shared" si="8"/>
        <v>41174</v>
      </c>
      <c r="O23" s="44" t="s">
        <v>16</v>
      </c>
      <c r="P23" s="44"/>
    </row>
    <row r="24" spans="1:16" s="50" customFormat="1" ht="12.75">
      <c r="A24" s="45" t="s">
        <v>549</v>
      </c>
      <c r="B24" s="44" t="s">
        <v>151</v>
      </c>
      <c r="C24" s="44" t="s">
        <v>930</v>
      </c>
      <c r="D24" s="44">
        <v>220</v>
      </c>
      <c r="E24" s="46">
        <f>VLOOKUP(F24,coefficienti!A$1:C$36,3)</f>
        <v>0.197479734782656</v>
      </c>
      <c r="F24" s="44">
        <v>1978</v>
      </c>
      <c r="G24" s="50">
        <f t="shared" si="9"/>
        <v>1800</v>
      </c>
      <c r="H24" s="44">
        <f t="shared" si="10"/>
        <v>40.90909090909091</v>
      </c>
      <c r="I24" s="44">
        <v>9000</v>
      </c>
      <c r="J24" s="44">
        <v>33.333333333333336</v>
      </c>
      <c r="K24" s="44">
        <f t="shared" si="11"/>
        <v>22</v>
      </c>
      <c r="L24" s="44">
        <f t="shared" si="6"/>
        <v>11.333333333333336</v>
      </c>
      <c r="M24" s="44">
        <f t="shared" si="7"/>
        <v>270</v>
      </c>
      <c r="N24" s="44">
        <f t="shared" si="8"/>
        <v>3060.0000000000005</v>
      </c>
      <c r="O24" s="44" t="s">
        <v>16</v>
      </c>
      <c r="P24" s="44"/>
    </row>
    <row r="25" spans="1:16" s="50" customFormat="1" ht="12.75">
      <c r="A25" s="45" t="s">
        <v>549</v>
      </c>
      <c r="B25" s="44" t="s">
        <v>152</v>
      </c>
      <c r="C25" s="44" t="s">
        <v>931</v>
      </c>
      <c r="D25" s="44">
        <v>120</v>
      </c>
      <c r="E25" s="46">
        <f>VLOOKUP(F25,coefficienti!A$1:C$36,3)</f>
        <v>0.4914920373875343</v>
      </c>
      <c r="F25" s="44">
        <v>1983</v>
      </c>
      <c r="G25" s="50">
        <f t="shared" si="9"/>
        <v>2400</v>
      </c>
      <c r="H25" s="44">
        <f t="shared" si="10"/>
        <v>40.833333333333336</v>
      </c>
      <c r="I25" s="44">
        <v>4900</v>
      </c>
      <c r="J25" s="44">
        <v>33.333333333333336</v>
      </c>
      <c r="K25" s="44">
        <f t="shared" si="11"/>
        <v>17</v>
      </c>
      <c r="L25" s="44">
        <f t="shared" si="6"/>
        <v>16.333333333333336</v>
      </c>
      <c r="M25" s="44">
        <f t="shared" si="7"/>
        <v>147</v>
      </c>
      <c r="N25" s="44">
        <f t="shared" si="8"/>
        <v>2401.0000000000005</v>
      </c>
      <c r="O25" s="44" t="s">
        <v>16</v>
      </c>
      <c r="P25" s="44"/>
    </row>
    <row r="26" spans="1:16" s="50" customFormat="1" ht="12.75">
      <c r="A26" s="45" t="s">
        <v>549</v>
      </c>
      <c r="B26" s="44" t="s">
        <v>153</v>
      </c>
      <c r="C26" s="44" t="s">
        <v>932</v>
      </c>
      <c r="D26" s="44">
        <v>90</v>
      </c>
      <c r="E26" s="46">
        <f>VLOOKUP(F26,coefficienti!A$1:C$36,3)</f>
        <v>0.8777194298574643</v>
      </c>
      <c r="F26" s="44">
        <v>1993</v>
      </c>
      <c r="G26" s="50">
        <f t="shared" si="9"/>
        <v>3200</v>
      </c>
      <c r="H26" s="44">
        <f t="shared" si="10"/>
        <v>41.111111111111114</v>
      </c>
      <c r="I26" s="44">
        <v>3700</v>
      </c>
      <c r="J26" s="44">
        <v>33.333333333333336</v>
      </c>
      <c r="K26" s="44">
        <f t="shared" si="11"/>
        <v>7</v>
      </c>
      <c r="L26" s="44">
        <f t="shared" si="6"/>
        <v>26.333333333333336</v>
      </c>
      <c r="M26" s="44">
        <f t="shared" si="7"/>
        <v>110.99999999999999</v>
      </c>
      <c r="N26" s="44">
        <f t="shared" si="8"/>
        <v>2923</v>
      </c>
      <c r="O26" s="44" t="s">
        <v>16</v>
      </c>
      <c r="P26" s="44"/>
    </row>
    <row r="27" spans="1:16" s="50" customFormat="1" ht="12.75">
      <c r="A27" s="45" t="s">
        <v>549</v>
      </c>
      <c r="B27" s="44" t="s">
        <v>154</v>
      </c>
      <c r="C27" s="44" t="s">
        <v>155</v>
      </c>
      <c r="D27" s="44">
        <v>100</v>
      </c>
      <c r="E27" s="46">
        <f>VLOOKUP(F27,coefficienti!A$1:C$36,3)</f>
        <v>0.05591825575067756</v>
      </c>
      <c r="F27" s="44">
        <v>1970</v>
      </c>
      <c r="G27" s="50">
        <f t="shared" si="9"/>
        <v>300</v>
      </c>
      <c r="H27" s="44">
        <f t="shared" si="10"/>
        <v>49</v>
      </c>
      <c r="I27" s="44">
        <v>4900</v>
      </c>
      <c r="J27" s="44">
        <v>33.333333333333336</v>
      </c>
      <c r="K27" s="44">
        <f t="shared" si="11"/>
        <v>30</v>
      </c>
      <c r="L27" s="44">
        <f t="shared" si="6"/>
        <v>3.3333333333333357</v>
      </c>
      <c r="M27" s="44">
        <f t="shared" si="7"/>
        <v>147</v>
      </c>
      <c r="N27" s="44">
        <f t="shared" si="8"/>
        <v>490.00000000000034</v>
      </c>
      <c r="O27" s="44" t="s">
        <v>16</v>
      </c>
      <c r="P27" s="44"/>
    </row>
    <row r="28" spans="1:16" s="50" customFormat="1" ht="12.75">
      <c r="A28" s="45" t="s">
        <v>549</v>
      </c>
      <c r="B28" s="44" t="s">
        <v>156</v>
      </c>
      <c r="C28" s="44" t="s">
        <v>157</v>
      </c>
      <c r="D28" s="44">
        <v>380</v>
      </c>
      <c r="E28" s="46">
        <f>VLOOKUP(F28,coefficienti!A$1:C$36,3)</f>
        <v>0.197479734782656</v>
      </c>
      <c r="F28" s="44">
        <v>1978</v>
      </c>
      <c r="G28" s="50">
        <f t="shared" si="9"/>
        <v>4700</v>
      </c>
      <c r="H28" s="44">
        <f t="shared" si="10"/>
        <v>62.89473684210526</v>
      </c>
      <c r="I28" s="44">
        <v>23900</v>
      </c>
      <c r="J28" s="44">
        <v>33.333333333333336</v>
      </c>
      <c r="K28" s="44">
        <f t="shared" si="11"/>
        <v>22</v>
      </c>
      <c r="L28" s="44">
        <f t="shared" si="6"/>
        <v>11.333333333333336</v>
      </c>
      <c r="M28" s="44">
        <f t="shared" si="7"/>
        <v>717</v>
      </c>
      <c r="N28" s="44">
        <f t="shared" si="8"/>
        <v>8126.000000000002</v>
      </c>
      <c r="O28" s="44" t="s">
        <v>16</v>
      </c>
      <c r="P28" s="44"/>
    </row>
    <row r="29" spans="1:16" s="50" customFormat="1" ht="12.75">
      <c r="A29" s="44"/>
      <c r="B29" s="44"/>
      <c r="C29" s="44"/>
      <c r="D29" s="44"/>
      <c r="E29" s="44"/>
      <c r="F29" s="44"/>
      <c r="G29" s="50">
        <f>SUM(G18:G28)</f>
        <v>111000</v>
      </c>
      <c r="H29" s="44"/>
      <c r="I29" s="44">
        <f>SUM(I18:I28)</f>
        <v>523200</v>
      </c>
      <c r="J29" s="44"/>
      <c r="K29" s="44"/>
      <c r="L29" s="44"/>
      <c r="M29" s="44">
        <f>SUM(M18:M28)</f>
        <v>15696</v>
      </c>
      <c r="N29" s="44">
        <f>SUM(N18:N28)</f>
        <v>161571.00000000003</v>
      </c>
      <c r="O29" s="44"/>
      <c r="P29" s="44"/>
    </row>
    <row r="30" spans="1:16" s="50" customFormat="1" ht="12.75">
      <c r="A30" s="44"/>
      <c r="B30" s="44"/>
      <c r="C30" s="44"/>
      <c r="D30" s="44"/>
      <c r="E30" s="44"/>
      <c r="F30" s="44"/>
      <c r="H30" s="44"/>
      <c r="J30" s="44"/>
      <c r="K30" s="44"/>
      <c r="L30" s="44"/>
      <c r="M30" s="49">
        <f>+M29/I29</f>
        <v>0.03</v>
      </c>
      <c r="N30" s="44"/>
      <c r="O30" s="44"/>
      <c r="P30" s="44"/>
    </row>
    <row r="31" spans="1:16" s="50" customFormat="1" ht="12.75">
      <c r="A31" s="44" t="s">
        <v>344</v>
      </c>
      <c r="B31" s="44"/>
      <c r="C31" s="44"/>
      <c r="D31" s="44"/>
      <c r="E31" s="44"/>
      <c r="F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1:16" s="50" customFormat="1" ht="12.75">
      <c r="A32" s="44" t="s">
        <v>1</v>
      </c>
      <c r="B32" s="44" t="s">
        <v>137</v>
      </c>
      <c r="C32" s="44" t="s">
        <v>3</v>
      </c>
      <c r="D32" s="44" t="s">
        <v>138</v>
      </c>
      <c r="E32" s="44" t="s">
        <v>338</v>
      </c>
      <c r="F32" s="44" t="s">
        <v>139</v>
      </c>
      <c r="G32" s="50" t="s">
        <v>337</v>
      </c>
      <c r="H32" s="44" t="s">
        <v>140</v>
      </c>
      <c r="I32" s="44" t="s">
        <v>141</v>
      </c>
      <c r="J32" s="44" t="s">
        <v>9</v>
      </c>
      <c r="K32" s="44" t="s">
        <v>10</v>
      </c>
      <c r="L32" s="44" t="s">
        <v>8</v>
      </c>
      <c r="M32" s="44" t="s">
        <v>11</v>
      </c>
      <c r="N32" s="44" t="s">
        <v>12</v>
      </c>
      <c r="O32" s="44" t="s">
        <v>14</v>
      </c>
      <c r="P32" s="44"/>
    </row>
    <row r="33" spans="1:16" s="50" customFormat="1" ht="12.75">
      <c r="A33" s="45" t="s">
        <v>549</v>
      </c>
      <c r="B33" s="44" t="s">
        <v>142</v>
      </c>
      <c r="C33" s="44" t="s">
        <v>143</v>
      </c>
      <c r="D33" s="44">
        <v>260</v>
      </c>
      <c r="E33" s="46">
        <f>VLOOKUP(F33,coefficienti!A$1:C$36,3)</f>
        <v>0.197479734782656</v>
      </c>
      <c r="F33" s="44">
        <v>1978</v>
      </c>
      <c r="G33" s="50">
        <f>ROUND(I33*E33/100,0)*100</f>
        <v>32800</v>
      </c>
      <c r="H33" s="44">
        <f>+I33/D33</f>
        <v>638.8461538461538</v>
      </c>
      <c r="I33" s="44">
        <v>166100</v>
      </c>
      <c r="J33" s="44">
        <v>33.333333333333336</v>
      </c>
      <c r="K33" s="44">
        <f aca="true" t="shared" si="12" ref="K33:K43">2000-F33</f>
        <v>22</v>
      </c>
      <c r="L33" s="44">
        <f aca="true" t="shared" si="13" ref="L33:L43">+J33-K33</f>
        <v>11.333333333333336</v>
      </c>
      <c r="M33" s="44">
        <f>+G33/J33</f>
        <v>983.9999999999999</v>
      </c>
      <c r="N33" s="44">
        <f aca="true" t="shared" si="14" ref="N33:N43">+M33*L33</f>
        <v>11152.000000000002</v>
      </c>
      <c r="O33" s="44" t="s">
        <v>16</v>
      </c>
      <c r="P33" s="44"/>
    </row>
    <row r="34" spans="1:16" s="50" customFormat="1" ht="12.75">
      <c r="A34" s="45" t="s">
        <v>549</v>
      </c>
      <c r="B34" s="44" t="s">
        <v>144</v>
      </c>
      <c r="C34" s="44" t="s">
        <v>145</v>
      </c>
      <c r="D34" s="44">
        <v>320</v>
      </c>
      <c r="E34" s="46">
        <f>VLOOKUP(F34,coefficienti!A$1:C$36,3)</f>
        <v>0.05591825575067756</v>
      </c>
      <c r="F34" s="44">
        <v>1970</v>
      </c>
      <c r="G34" s="50">
        <f aca="true" t="shared" si="15" ref="G34:G43">ROUND(I34*E34/100,0)*100</f>
        <v>1300</v>
      </c>
      <c r="H34" s="44">
        <f aca="true" t="shared" si="16" ref="H34:H43">+I34/D34</f>
        <v>71.25</v>
      </c>
      <c r="I34" s="44">
        <v>22800</v>
      </c>
      <c r="J34" s="44">
        <v>33.333333333333336</v>
      </c>
      <c r="K34" s="44">
        <f t="shared" si="12"/>
        <v>30</v>
      </c>
      <c r="L34" s="44">
        <f t="shared" si="13"/>
        <v>3.3333333333333357</v>
      </c>
      <c r="M34" s="44">
        <f aca="true" t="shared" si="17" ref="M34:M43">+G34/J34</f>
        <v>39</v>
      </c>
      <c r="N34" s="44">
        <f t="shared" si="14"/>
        <v>130.00000000000009</v>
      </c>
      <c r="O34" s="44" t="s">
        <v>16</v>
      </c>
      <c r="P34" s="44"/>
    </row>
    <row r="35" spans="1:16" s="50" customFormat="1" ht="12.75">
      <c r="A35" s="45" t="s">
        <v>549</v>
      </c>
      <c r="B35" s="44" t="s">
        <v>146</v>
      </c>
      <c r="C35" s="44" t="s">
        <v>147</v>
      </c>
      <c r="D35" s="44">
        <v>90</v>
      </c>
      <c r="E35" s="46">
        <f>VLOOKUP(F35,coefficienti!A$1:C$36,3)</f>
        <v>0.05591825575067756</v>
      </c>
      <c r="F35" s="44">
        <v>1970</v>
      </c>
      <c r="G35" s="50">
        <f t="shared" si="15"/>
        <v>400</v>
      </c>
      <c r="H35" s="44">
        <f t="shared" si="16"/>
        <v>71.11111111111111</v>
      </c>
      <c r="I35" s="44">
        <v>6400</v>
      </c>
      <c r="J35" s="44">
        <v>33.333333333333336</v>
      </c>
      <c r="K35" s="44">
        <f t="shared" si="12"/>
        <v>30</v>
      </c>
      <c r="L35" s="44">
        <f t="shared" si="13"/>
        <v>3.3333333333333357</v>
      </c>
      <c r="M35" s="44">
        <f t="shared" si="17"/>
        <v>12</v>
      </c>
      <c r="N35" s="44">
        <f t="shared" si="14"/>
        <v>40.00000000000003</v>
      </c>
      <c r="O35" s="44" t="s">
        <v>16</v>
      </c>
      <c r="P35" s="44"/>
    </row>
    <row r="36" spans="1:16" s="50" customFormat="1" ht="12.75">
      <c r="A36" s="45" t="s">
        <v>549</v>
      </c>
      <c r="B36" s="44" t="s">
        <v>148</v>
      </c>
      <c r="C36" s="44" t="s">
        <v>927</v>
      </c>
      <c r="D36" s="44">
        <v>728</v>
      </c>
      <c r="E36" s="46">
        <f>VLOOKUP(F36,coefficienti!A$1:C$36,3)</f>
        <v>0.4914920373875343</v>
      </c>
      <c r="F36" s="44">
        <v>1983</v>
      </c>
      <c r="G36" s="50">
        <f t="shared" si="15"/>
        <v>35200</v>
      </c>
      <c r="H36" s="44">
        <f t="shared" si="16"/>
        <v>98.48901098901099</v>
      </c>
      <c r="I36" s="44">
        <v>71700</v>
      </c>
      <c r="J36" s="44">
        <v>33.333333333333336</v>
      </c>
      <c r="K36" s="44">
        <f t="shared" si="12"/>
        <v>17</v>
      </c>
      <c r="L36" s="44">
        <f t="shared" si="13"/>
        <v>16.333333333333336</v>
      </c>
      <c r="M36" s="44">
        <f t="shared" si="17"/>
        <v>1056</v>
      </c>
      <c r="N36" s="44">
        <f t="shared" si="14"/>
        <v>17248.000000000004</v>
      </c>
      <c r="O36" s="44" t="s">
        <v>16</v>
      </c>
      <c r="P36" s="44"/>
    </row>
    <row r="37" spans="1:16" s="50" customFormat="1" ht="12.75">
      <c r="A37" s="45" t="s">
        <v>549</v>
      </c>
      <c r="B37" s="44" t="s">
        <v>149</v>
      </c>
      <c r="C37" s="44" t="s">
        <v>928</v>
      </c>
      <c r="D37" s="44">
        <v>900</v>
      </c>
      <c r="E37" s="46">
        <f>VLOOKUP(F37,coefficienti!A$1:C$36,3)</f>
        <v>0.05591825575067756</v>
      </c>
      <c r="F37" s="44">
        <v>1970</v>
      </c>
      <c r="G37" s="50">
        <f t="shared" si="15"/>
        <v>5000</v>
      </c>
      <c r="H37" s="44">
        <f t="shared" si="16"/>
        <v>98.55555555555556</v>
      </c>
      <c r="I37" s="44">
        <v>88700</v>
      </c>
      <c r="J37" s="44">
        <v>33.333333333333336</v>
      </c>
      <c r="K37" s="44">
        <f t="shared" si="12"/>
        <v>30</v>
      </c>
      <c r="L37" s="44">
        <f t="shared" si="13"/>
        <v>3.3333333333333357</v>
      </c>
      <c r="M37" s="44">
        <f t="shared" si="17"/>
        <v>150</v>
      </c>
      <c r="N37" s="44">
        <f t="shared" si="14"/>
        <v>500.00000000000034</v>
      </c>
      <c r="O37" s="44" t="s">
        <v>16</v>
      </c>
      <c r="P37" s="44"/>
    </row>
    <row r="38" spans="1:16" s="50" customFormat="1" ht="12.75">
      <c r="A38" s="45" t="s">
        <v>549</v>
      </c>
      <c r="B38" s="44" t="s">
        <v>150</v>
      </c>
      <c r="C38" s="44" t="s">
        <v>929</v>
      </c>
      <c r="D38" s="44">
        <v>1229</v>
      </c>
      <c r="E38" s="46">
        <f>VLOOKUP(F38,coefficienti!A$1:C$36,3)</f>
        <v>0.197479734782656</v>
      </c>
      <c r="F38" s="44">
        <v>1978</v>
      </c>
      <c r="G38" s="50">
        <f t="shared" si="15"/>
        <v>23900</v>
      </c>
      <c r="H38" s="44">
        <f t="shared" si="16"/>
        <v>98.53539462978031</v>
      </c>
      <c r="I38" s="44">
        <v>121100</v>
      </c>
      <c r="J38" s="44">
        <v>33.333333333333336</v>
      </c>
      <c r="K38" s="44">
        <f t="shared" si="12"/>
        <v>22</v>
      </c>
      <c r="L38" s="44">
        <f t="shared" si="13"/>
        <v>11.333333333333336</v>
      </c>
      <c r="M38" s="44">
        <f t="shared" si="17"/>
        <v>717</v>
      </c>
      <c r="N38" s="44">
        <f t="shared" si="14"/>
        <v>8126.000000000002</v>
      </c>
      <c r="O38" s="44" t="s">
        <v>16</v>
      </c>
      <c r="P38" s="44"/>
    </row>
    <row r="39" spans="1:16" s="50" customFormat="1" ht="12.75">
      <c r="A39" s="45" t="s">
        <v>549</v>
      </c>
      <c r="B39" s="44" t="s">
        <v>151</v>
      </c>
      <c r="C39" s="44" t="s">
        <v>930</v>
      </c>
      <c r="D39" s="44">
        <v>220</v>
      </c>
      <c r="E39" s="46">
        <f>VLOOKUP(F39,coefficienti!A$1:C$36,3)</f>
        <v>0.197479734782656</v>
      </c>
      <c r="F39" s="44">
        <v>1978</v>
      </c>
      <c r="G39" s="50">
        <f t="shared" si="15"/>
        <v>1800</v>
      </c>
      <c r="H39" s="44">
        <f t="shared" si="16"/>
        <v>40.90909090909091</v>
      </c>
      <c r="I39" s="44">
        <v>9000</v>
      </c>
      <c r="J39" s="44">
        <v>33.333333333333336</v>
      </c>
      <c r="K39" s="44">
        <f t="shared" si="12"/>
        <v>22</v>
      </c>
      <c r="L39" s="44">
        <f t="shared" si="13"/>
        <v>11.333333333333336</v>
      </c>
      <c r="M39" s="44">
        <f t="shared" si="17"/>
        <v>53.99999999999999</v>
      </c>
      <c r="N39" s="44">
        <f t="shared" si="14"/>
        <v>612</v>
      </c>
      <c r="O39" s="44" t="s">
        <v>16</v>
      </c>
      <c r="P39" s="44"/>
    </row>
    <row r="40" spans="1:16" s="50" customFormat="1" ht="12.75">
      <c r="A40" s="45" t="s">
        <v>549</v>
      </c>
      <c r="B40" s="44" t="s">
        <v>152</v>
      </c>
      <c r="C40" s="44" t="s">
        <v>931</v>
      </c>
      <c r="D40" s="44">
        <v>120</v>
      </c>
      <c r="E40" s="46">
        <f>VLOOKUP(F40,coefficienti!A$1:C$36,3)</f>
        <v>0.4914920373875343</v>
      </c>
      <c r="F40" s="44">
        <v>1983</v>
      </c>
      <c r="G40" s="50">
        <f t="shared" si="15"/>
        <v>2400</v>
      </c>
      <c r="H40" s="44">
        <f t="shared" si="16"/>
        <v>40.833333333333336</v>
      </c>
      <c r="I40" s="44">
        <v>4900</v>
      </c>
      <c r="J40" s="44">
        <v>33.333333333333336</v>
      </c>
      <c r="K40" s="44">
        <f t="shared" si="12"/>
        <v>17</v>
      </c>
      <c r="L40" s="44">
        <f t="shared" si="13"/>
        <v>16.333333333333336</v>
      </c>
      <c r="M40" s="44">
        <f t="shared" si="17"/>
        <v>72</v>
      </c>
      <c r="N40" s="44">
        <f t="shared" si="14"/>
        <v>1176.0000000000002</v>
      </c>
      <c r="O40" s="44" t="s">
        <v>16</v>
      </c>
      <c r="P40" s="44"/>
    </row>
    <row r="41" spans="1:16" s="50" customFormat="1" ht="12.75">
      <c r="A41" s="45" t="s">
        <v>549</v>
      </c>
      <c r="B41" s="44" t="s">
        <v>153</v>
      </c>
      <c r="C41" s="44" t="s">
        <v>932</v>
      </c>
      <c r="D41" s="44">
        <v>90</v>
      </c>
      <c r="E41" s="46">
        <f>VLOOKUP(F41,coefficienti!A$1:C$36,3)</f>
        <v>0.8777194298574643</v>
      </c>
      <c r="F41" s="44">
        <v>1993</v>
      </c>
      <c r="G41" s="50">
        <f t="shared" si="15"/>
        <v>3200</v>
      </c>
      <c r="H41" s="44">
        <f t="shared" si="16"/>
        <v>41.111111111111114</v>
      </c>
      <c r="I41" s="44">
        <v>3700</v>
      </c>
      <c r="J41" s="44">
        <v>33.333333333333336</v>
      </c>
      <c r="K41" s="44">
        <f t="shared" si="12"/>
        <v>7</v>
      </c>
      <c r="L41" s="44">
        <f t="shared" si="13"/>
        <v>26.333333333333336</v>
      </c>
      <c r="M41" s="44">
        <f t="shared" si="17"/>
        <v>96</v>
      </c>
      <c r="N41" s="44">
        <f t="shared" si="14"/>
        <v>2528</v>
      </c>
      <c r="O41" s="44" t="s">
        <v>16</v>
      </c>
      <c r="P41" s="44"/>
    </row>
    <row r="42" spans="1:16" s="50" customFormat="1" ht="12.75">
      <c r="A42" s="45" t="s">
        <v>549</v>
      </c>
      <c r="B42" s="44" t="s">
        <v>154</v>
      </c>
      <c r="C42" s="44" t="s">
        <v>155</v>
      </c>
      <c r="D42" s="44">
        <v>100</v>
      </c>
      <c r="E42" s="46">
        <f>VLOOKUP(F42,coefficienti!A$1:C$36,3)</f>
        <v>0.05591825575067756</v>
      </c>
      <c r="F42" s="44">
        <v>1970</v>
      </c>
      <c r="G42" s="50">
        <f t="shared" si="15"/>
        <v>300</v>
      </c>
      <c r="H42" s="44">
        <f t="shared" si="16"/>
        <v>49</v>
      </c>
      <c r="I42" s="44">
        <v>4900</v>
      </c>
      <c r="J42" s="44">
        <v>33.333333333333336</v>
      </c>
      <c r="K42" s="44">
        <f t="shared" si="12"/>
        <v>30</v>
      </c>
      <c r="L42" s="44">
        <f t="shared" si="13"/>
        <v>3.3333333333333357</v>
      </c>
      <c r="M42" s="44">
        <f t="shared" si="17"/>
        <v>9</v>
      </c>
      <c r="N42" s="44">
        <f t="shared" si="14"/>
        <v>30.00000000000002</v>
      </c>
      <c r="O42" s="44" t="s">
        <v>16</v>
      </c>
      <c r="P42" s="44"/>
    </row>
    <row r="43" spans="1:16" s="50" customFormat="1" ht="12.75">
      <c r="A43" s="45" t="s">
        <v>549</v>
      </c>
      <c r="B43" s="44" t="s">
        <v>156</v>
      </c>
      <c r="C43" s="44" t="s">
        <v>157</v>
      </c>
      <c r="D43" s="44">
        <v>380</v>
      </c>
      <c r="E43" s="46">
        <f>VLOOKUP(F43,coefficienti!A$1:C$36,3)</f>
        <v>0.197479734782656</v>
      </c>
      <c r="F43" s="44">
        <v>1978</v>
      </c>
      <c r="G43" s="50">
        <f t="shared" si="15"/>
        <v>4700</v>
      </c>
      <c r="H43" s="44">
        <f t="shared" si="16"/>
        <v>62.89473684210526</v>
      </c>
      <c r="I43" s="44">
        <v>23900</v>
      </c>
      <c r="J43" s="44">
        <v>33.333333333333336</v>
      </c>
      <c r="K43" s="44">
        <f t="shared" si="12"/>
        <v>22</v>
      </c>
      <c r="L43" s="44">
        <f t="shared" si="13"/>
        <v>11.333333333333336</v>
      </c>
      <c r="M43" s="44">
        <f t="shared" si="17"/>
        <v>141</v>
      </c>
      <c r="N43" s="44">
        <f t="shared" si="14"/>
        <v>1598.0000000000002</v>
      </c>
      <c r="O43" s="44" t="s">
        <v>16</v>
      </c>
      <c r="P43" s="44"/>
    </row>
    <row r="44" spans="1:16" s="50" customFormat="1" ht="12.75">
      <c r="A44" s="44"/>
      <c r="B44" s="44"/>
      <c r="C44" s="44"/>
      <c r="D44" s="44"/>
      <c r="E44" s="44"/>
      <c r="F44" s="44"/>
      <c r="G44" s="50">
        <f>SUM(G33:G43)</f>
        <v>111000</v>
      </c>
      <c r="H44" s="44"/>
      <c r="I44" s="44">
        <f>SUM(I33:I43)</f>
        <v>523200</v>
      </c>
      <c r="J44" s="44"/>
      <c r="K44" s="44"/>
      <c r="L44" s="44"/>
      <c r="M44" s="44">
        <f>SUM(M33:M43)</f>
        <v>3330</v>
      </c>
      <c r="N44" s="44">
        <f>SUM(N33:N43)</f>
        <v>43140.00000000001</v>
      </c>
      <c r="O44" s="44"/>
      <c r="P44" s="44"/>
    </row>
    <row r="45" spans="1:16" s="50" customFormat="1" ht="12.75">
      <c r="A45" s="44"/>
      <c r="B45" s="44"/>
      <c r="C45" s="44"/>
      <c r="D45" s="44"/>
      <c r="E45" s="44"/>
      <c r="F45" s="44"/>
      <c r="H45" s="44"/>
      <c r="I45" s="44"/>
      <c r="J45" s="44"/>
      <c r="K45" s="44"/>
      <c r="L45" s="44"/>
      <c r="M45" s="49">
        <f>+M44/G44</f>
        <v>0.03</v>
      </c>
      <c r="N45" s="44">
        <f>+G44-N44</f>
        <v>67860</v>
      </c>
      <c r="O45" s="44"/>
      <c r="P45" s="44"/>
    </row>
  </sheetData>
  <printOptions/>
  <pageMargins left="0.75" right="0.75" top="0.35" bottom="0.36" header="0.33" footer="0.36"/>
  <pageSetup fitToHeight="1" fitToWidth="1" horizontalDpi="300" verticalDpi="3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0"/>
  <dimension ref="A1:Q292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44" customWidth="1"/>
    <col min="2" max="2" width="5.7109375" style="44" customWidth="1"/>
    <col min="3" max="3" width="26.140625" style="44" customWidth="1"/>
    <col min="4" max="4" width="21.140625" style="44" customWidth="1"/>
    <col min="5" max="5" width="3.7109375" style="44" customWidth="1"/>
    <col min="6" max="7" width="4.7109375" style="44" customWidth="1"/>
    <col min="8" max="8" width="8.140625" style="44" customWidth="1"/>
    <col min="9" max="9" width="9.421875" style="44" customWidth="1"/>
    <col min="10" max="10" width="8.7109375" style="44" customWidth="1"/>
    <col min="11" max="13" width="3.7109375" style="44" customWidth="1"/>
    <col min="14" max="14" width="7.7109375" style="44" customWidth="1"/>
    <col min="15" max="15" width="8.7109375" style="44" customWidth="1"/>
    <col min="16" max="17" width="1.7109375" style="44" customWidth="1"/>
  </cols>
  <sheetData>
    <row r="1" ht="12.75">
      <c r="A1" s="44" t="s">
        <v>342</v>
      </c>
    </row>
    <row r="2" spans="1:17" ht="12.75">
      <c r="A2" s="44" t="s">
        <v>1</v>
      </c>
      <c r="B2" s="44" t="s">
        <v>2</v>
      </c>
      <c r="C2" s="44" t="s">
        <v>3</v>
      </c>
      <c r="D2" s="44" t="s">
        <v>15</v>
      </c>
      <c r="E2" s="44" t="s">
        <v>4</v>
      </c>
      <c r="F2" s="44" t="s">
        <v>5</v>
      </c>
      <c r="G2" s="44" t="s">
        <v>6</v>
      </c>
      <c r="H2" s="44" t="s">
        <v>338</v>
      </c>
      <c r="I2" s="44" t="s">
        <v>339</v>
      </c>
      <c r="J2" s="44" t="s">
        <v>7</v>
      </c>
      <c r="K2" s="44" t="s">
        <v>9</v>
      </c>
      <c r="L2" s="44" t="s">
        <v>10</v>
      </c>
      <c r="M2" s="44" t="s">
        <v>8</v>
      </c>
      <c r="N2" s="44" t="s">
        <v>11</v>
      </c>
      <c r="O2" s="44" t="s">
        <v>12</v>
      </c>
      <c r="P2" s="44" t="s">
        <v>13</v>
      </c>
      <c r="Q2" s="44" t="s">
        <v>14</v>
      </c>
    </row>
    <row r="3" spans="1:17" ht="12.75">
      <c r="A3" s="45" t="s">
        <v>549</v>
      </c>
      <c r="B3" s="44" t="s">
        <v>17</v>
      </c>
      <c r="C3" s="44" t="s">
        <v>18</v>
      </c>
      <c r="D3" s="44" t="s">
        <v>80</v>
      </c>
      <c r="E3" s="44">
        <v>67</v>
      </c>
      <c r="F3" s="44">
        <v>1986</v>
      </c>
      <c r="G3" s="44">
        <v>1986</v>
      </c>
      <c r="H3" s="46">
        <f>VLOOKUP(G3,coefficienti!A$1:C$36,2)</f>
        <v>0.5396234168864108</v>
      </c>
      <c r="I3" s="44">
        <f aca="true" t="shared" si="0" ref="I3:I39">INT(J3*H3/100)*100</f>
        <v>15500</v>
      </c>
      <c r="J3" s="44">
        <v>28900</v>
      </c>
      <c r="K3" s="44">
        <v>16</v>
      </c>
      <c r="L3" s="44">
        <v>14</v>
      </c>
      <c r="M3" s="44">
        <f>+K3-L3</f>
        <v>2</v>
      </c>
      <c r="N3" s="44">
        <f>+J3/K3</f>
        <v>1806.25</v>
      </c>
      <c r="O3" s="44">
        <f>+N3*M3</f>
        <v>3612.5</v>
      </c>
      <c r="Q3" s="44" t="s">
        <v>16</v>
      </c>
    </row>
    <row r="4" spans="1:17" ht="12.75">
      <c r="A4" s="45" t="s">
        <v>549</v>
      </c>
      <c r="B4" s="44" t="s">
        <v>19</v>
      </c>
      <c r="C4" s="44" t="s">
        <v>18</v>
      </c>
      <c r="D4" s="44" t="s">
        <v>81</v>
      </c>
      <c r="E4" s="44">
        <v>100</v>
      </c>
      <c r="F4" s="44">
        <v>1993</v>
      </c>
      <c r="G4" s="44">
        <v>1991</v>
      </c>
      <c r="H4" s="46">
        <f>VLOOKUP(G4,coefficienti!A$1:C$36,2)</f>
        <v>0.6929741685820822</v>
      </c>
      <c r="I4" s="44">
        <f t="shared" si="0"/>
        <v>42600</v>
      </c>
      <c r="J4" s="44">
        <v>61500</v>
      </c>
      <c r="K4" s="44">
        <v>11</v>
      </c>
      <c r="L4" s="44">
        <v>9</v>
      </c>
      <c r="M4" s="44">
        <f aca="true" t="shared" si="1" ref="M4:M45">+K4-L4</f>
        <v>2</v>
      </c>
      <c r="N4" s="44">
        <f aca="true" t="shared" si="2" ref="N4:N45">+J4/K4</f>
        <v>5590.909090909091</v>
      </c>
      <c r="O4" s="44">
        <f aca="true" t="shared" si="3" ref="O4:O45">+N4*M4</f>
        <v>11181.818181818182</v>
      </c>
      <c r="Q4" s="44" t="s">
        <v>16</v>
      </c>
    </row>
    <row r="5" spans="1:17" ht="12.75">
      <c r="A5" s="45" t="s">
        <v>549</v>
      </c>
      <c r="B5" s="44" t="s">
        <v>55</v>
      </c>
      <c r="C5" s="44" t="s">
        <v>18</v>
      </c>
      <c r="D5" s="44" t="s">
        <v>81</v>
      </c>
      <c r="E5" s="44">
        <v>100</v>
      </c>
      <c r="F5" s="44">
        <v>1993</v>
      </c>
      <c r="G5" s="44">
        <v>1993</v>
      </c>
      <c r="H5" s="46">
        <f>VLOOKUP(G5,coefficienti!A$1:C$36,2)</f>
        <v>0.7876165113182424</v>
      </c>
      <c r="I5" s="44">
        <f t="shared" si="0"/>
        <v>48400</v>
      </c>
      <c r="J5" s="44">
        <v>61500</v>
      </c>
      <c r="K5" s="44">
        <v>9</v>
      </c>
      <c r="L5" s="44">
        <v>7</v>
      </c>
      <c r="M5" s="44">
        <f t="shared" si="1"/>
        <v>2</v>
      </c>
      <c r="N5" s="44">
        <f t="shared" si="2"/>
        <v>6833.333333333333</v>
      </c>
      <c r="O5" s="44">
        <f t="shared" si="3"/>
        <v>13666.666666666666</v>
      </c>
      <c r="Q5" s="44" t="s">
        <v>16</v>
      </c>
    </row>
    <row r="6" spans="1:17" ht="12.75">
      <c r="A6" s="45" t="s">
        <v>549</v>
      </c>
      <c r="B6" s="44" t="s">
        <v>20</v>
      </c>
      <c r="C6" s="44" t="s">
        <v>21</v>
      </c>
      <c r="D6" s="44" t="s">
        <v>82</v>
      </c>
      <c r="E6" s="44">
        <v>8</v>
      </c>
      <c r="F6" s="44">
        <v>1990</v>
      </c>
      <c r="G6" s="44">
        <v>1990</v>
      </c>
      <c r="H6" s="46">
        <f>VLOOKUP(G6,coefficienti!A$1:C$36,2)</f>
        <v>0.6657789613848203</v>
      </c>
      <c r="I6" s="44">
        <f t="shared" si="0"/>
        <v>1600</v>
      </c>
      <c r="J6" s="44">
        <v>2500</v>
      </c>
      <c r="K6" s="44">
        <v>12</v>
      </c>
      <c r="L6" s="44">
        <v>10</v>
      </c>
      <c r="M6" s="44">
        <f t="shared" si="1"/>
        <v>2</v>
      </c>
      <c r="N6" s="44">
        <f t="shared" si="2"/>
        <v>208.33333333333334</v>
      </c>
      <c r="O6" s="44">
        <f t="shared" si="3"/>
        <v>416.6666666666667</v>
      </c>
      <c r="Q6" s="44" t="s">
        <v>16</v>
      </c>
    </row>
    <row r="7" spans="1:17" ht="12.75">
      <c r="A7" s="45" t="s">
        <v>549</v>
      </c>
      <c r="B7" s="44" t="s">
        <v>41</v>
      </c>
      <c r="C7" s="44" t="s">
        <v>42</v>
      </c>
      <c r="E7" s="44">
        <v>0</v>
      </c>
      <c r="F7" s="44">
        <v>1992</v>
      </c>
      <c r="G7" s="44">
        <v>1992</v>
      </c>
      <c r="H7" s="46">
        <f>VLOOKUP(G7,coefficienti!A$1:C$36,2)</f>
        <v>0.741011984021305</v>
      </c>
      <c r="I7" s="44">
        <f t="shared" si="0"/>
        <v>1600</v>
      </c>
      <c r="J7" s="44">
        <v>2200</v>
      </c>
      <c r="K7" s="44">
        <v>10</v>
      </c>
      <c r="L7" s="44">
        <v>8</v>
      </c>
      <c r="M7" s="44">
        <f t="shared" si="1"/>
        <v>2</v>
      </c>
      <c r="N7" s="44">
        <f t="shared" si="2"/>
        <v>220</v>
      </c>
      <c r="O7" s="44">
        <f t="shared" si="3"/>
        <v>440</v>
      </c>
      <c r="Q7" s="44" t="s">
        <v>16</v>
      </c>
    </row>
    <row r="8" spans="1:17" ht="12.75">
      <c r="A8" s="45" t="s">
        <v>549</v>
      </c>
      <c r="B8" s="44" t="s">
        <v>22</v>
      </c>
      <c r="C8" s="44" t="s">
        <v>23</v>
      </c>
      <c r="E8" s="44">
        <v>0</v>
      </c>
      <c r="F8" s="44">
        <v>1998</v>
      </c>
      <c r="G8" s="44">
        <v>1998</v>
      </c>
      <c r="H8" s="46">
        <f>VLOOKUP(G8,coefficienti!A$1:C$36,2)</f>
        <v>0.9880159786950733</v>
      </c>
      <c r="I8" s="44">
        <f t="shared" si="0"/>
        <v>6400</v>
      </c>
      <c r="J8" s="44">
        <v>6500</v>
      </c>
      <c r="K8" s="44">
        <v>5</v>
      </c>
      <c r="L8" s="44">
        <v>2</v>
      </c>
      <c r="M8" s="44">
        <f t="shared" si="1"/>
        <v>3</v>
      </c>
      <c r="N8" s="44">
        <f t="shared" si="2"/>
        <v>1300</v>
      </c>
      <c r="O8" s="44">
        <f t="shared" si="3"/>
        <v>3900</v>
      </c>
      <c r="Q8" s="44" t="s">
        <v>16</v>
      </c>
    </row>
    <row r="9" spans="1:17" ht="12.75">
      <c r="A9" s="45" t="s">
        <v>549</v>
      </c>
      <c r="B9" s="44" t="s">
        <v>24</v>
      </c>
      <c r="C9" s="44" t="s">
        <v>25</v>
      </c>
      <c r="D9" s="44" t="s">
        <v>83</v>
      </c>
      <c r="E9" s="44">
        <v>0</v>
      </c>
      <c r="F9" s="44">
        <v>1999</v>
      </c>
      <c r="G9" s="44">
        <v>1999</v>
      </c>
      <c r="H9" s="46">
        <f>VLOOKUP(G9,coefficienti!A$1:C$36,2)</f>
        <v>0.9919551708832667</v>
      </c>
      <c r="I9" s="44">
        <f t="shared" si="0"/>
        <v>3900</v>
      </c>
      <c r="J9" s="44">
        <v>4000</v>
      </c>
      <c r="K9" s="44">
        <v>4</v>
      </c>
      <c r="L9" s="44">
        <v>1</v>
      </c>
      <c r="M9" s="44">
        <f t="shared" si="1"/>
        <v>3</v>
      </c>
      <c r="N9" s="44">
        <f t="shared" si="2"/>
        <v>1000</v>
      </c>
      <c r="O9" s="44">
        <f t="shared" si="3"/>
        <v>3000</v>
      </c>
      <c r="Q9" s="44" t="s">
        <v>16</v>
      </c>
    </row>
    <row r="10" spans="1:17" ht="12.75">
      <c r="A10" s="45" t="s">
        <v>549</v>
      </c>
      <c r="B10" s="44" t="s">
        <v>77</v>
      </c>
      <c r="C10" s="44" t="s">
        <v>78</v>
      </c>
      <c r="D10" s="44" t="s">
        <v>84</v>
      </c>
      <c r="E10" s="44">
        <v>0</v>
      </c>
      <c r="F10" s="44">
        <v>1998</v>
      </c>
      <c r="G10" s="44">
        <v>1998</v>
      </c>
      <c r="H10" s="46">
        <f>VLOOKUP(G10,coefficienti!A$1:C$36,2)</f>
        <v>0.9880159786950733</v>
      </c>
      <c r="I10" s="44">
        <f t="shared" si="0"/>
        <v>2800</v>
      </c>
      <c r="J10" s="44">
        <v>2900</v>
      </c>
      <c r="K10" s="44">
        <v>5</v>
      </c>
      <c r="L10" s="44">
        <v>2</v>
      </c>
      <c r="M10" s="44">
        <f t="shared" si="1"/>
        <v>3</v>
      </c>
      <c r="N10" s="44">
        <f t="shared" si="2"/>
        <v>580</v>
      </c>
      <c r="O10" s="44">
        <f t="shared" si="3"/>
        <v>1740</v>
      </c>
      <c r="Q10" s="44" t="s">
        <v>16</v>
      </c>
    </row>
    <row r="11" spans="1:17" ht="12.75">
      <c r="A11" s="45" t="s">
        <v>549</v>
      </c>
      <c r="B11" s="44" t="s">
        <v>28</v>
      </c>
      <c r="C11" s="44" t="s">
        <v>29</v>
      </c>
      <c r="E11" s="44">
        <v>0</v>
      </c>
      <c r="F11" s="44">
        <v>1996</v>
      </c>
      <c r="G11" s="44">
        <v>1996</v>
      </c>
      <c r="H11" s="46">
        <f>VLOOKUP(G11,coefficienti!A$1:C$36,2)</f>
        <v>0.9420772303595207</v>
      </c>
      <c r="I11" s="44">
        <f t="shared" si="0"/>
        <v>1200</v>
      </c>
      <c r="J11" s="44">
        <v>1300</v>
      </c>
      <c r="K11" s="44">
        <v>6</v>
      </c>
      <c r="L11" s="44">
        <v>4</v>
      </c>
      <c r="M11" s="44">
        <f t="shared" si="1"/>
        <v>2</v>
      </c>
      <c r="N11" s="44">
        <f t="shared" si="2"/>
        <v>216.66666666666666</v>
      </c>
      <c r="O11" s="44">
        <f t="shared" si="3"/>
        <v>433.3333333333333</v>
      </c>
      <c r="Q11" s="44" t="s">
        <v>16</v>
      </c>
    </row>
    <row r="12" spans="1:17" ht="12.75">
      <c r="A12" s="45" t="s">
        <v>549</v>
      </c>
      <c r="B12" s="44" t="s">
        <v>43</v>
      </c>
      <c r="C12" s="44" t="s">
        <v>30</v>
      </c>
      <c r="E12" s="44">
        <v>0</v>
      </c>
      <c r="F12" s="44">
        <v>1985</v>
      </c>
      <c r="G12" s="44">
        <v>1985</v>
      </c>
      <c r="H12" s="46">
        <f>VLOOKUP(G12,coefficienti!A$1:C$36,2)</f>
        <v>0.5046221779936384</v>
      </c>
      <c r="I12" s="44">
        <f t="shared" si="0"/>
        <v>2500</v>
      </c>
      <c r="J12" s="44">
        <v>5100</v>
      </c>
      <c r="K12" s="44">
        <v>17</v>
      </c>
      <c r="L12" s="44">
        <v>15</v>
      </c>
      <c r="M12" s="44">
        <f t="shared" si="1"/>
        <v>2</v>
      </c>
      <c r="N12" s="44">
        <f t="shared" si="2"/>
        <v>300</v>
      </c>
      <c r="O12" s="44">
        <f t="shared" si="3"/>
        <v>600</v>
      </c>
      <c r="Q12" s="44" t="s">
        <v>16</v>
      </c>
    </row>
    <row r="13" spans="1:17" ht="12.75">
      <c r="A13" s="45" t="s">
        <v>549</v>
      </c>
      <c r="B13" s="44" t="s">
        <v>68</v>
      </c>
      <c r="C13" s="44" t="s">
        <v>67</v>
      </c>
      <c r="D13" s="44" t="s">
        <v>85</v>
      </c>
      <c r="E13" s="44">
        <v>0</v>
      </c>
      <c r="F13" s="44">
        <v>1990</v>
      </c>
      <c r="G13" s="44">
        <v>1990</v>
      </c>
      <c r="H13" s="46">
        <f>VLOOKUP(G13,coefficienti!A$1:C$36,2)</f>
        <v>0.6657789613848203</v>
      </c>
      <c r="I13" s="44">
        <f t="shared" si="0"/>
        <v>3800</v>
      </c>
      <c r="J13" s="44">
        <v>5800</v>
      </c>
      <c r="K13" s="44">
        <v>12</v>
      </c>
      <c r="L13" s="44">
        <v>10</v>
      </c>
      <c r="M13" s="44">
        <f t="shared" si="1"/>
        <v>2</v>
      </c>
      <c r="N13" s="44">
        <f t="shared" si="2"/>
        <v>483.3333333333333</v>
      </c>
      <c r="O13" s="44">
        <f t="shared" si="3"/>
        <v>966.6666666666666</v>
      </c>
      <c r="Q13" s="44" t="s">
        <v>16</v>
      </c>
    </row>
    <row r="14" spans="1:17" ht="12.75">
      <c r="A14" s="45" t="s">
        <v>549</v>
      </c>
      <c r="B14" s="44" t="s">
        <v>69</v>
      </c>
      <c r="C14" s="44" t="s">
        <v>67</v>
      </c>
      <c r="D14" s="44" t="s">
        <v>86</v>
      </c>
      <c r="E14" s="44">
        <v>0</v>
      </c>
      <c r="F14" s="44">
        <v>1995</v>
      </c>
      <c r="G14" s="44">
        <v>1995</v>
      </c>
      <c r="H14" s="46">
        <f>VLOOKUP(G14,coefficienti!A$1:C$36,2)</f>
        <v>0.8794940079893475</v>
      </c>
      <c r="I14" s="44">
        <f t="shared" si="0"/>
        <v>5100</v>
      </c>
      <c r="J14" s="44">
        <v>5800</v>
      </c>
      <c r="K14" s="44">
        <v>7</v>
      </c>
      <c r="L14" s="44">
        <v>5</v>
      </c>
      <c r="M14" s="44">
        <f t="shared" si="1"/>
        <v>2</v>
      </c>
      <c r="N14" s="44">
        <f t="shared" si="2"/>
        <v>828.5714285714286</v>
      </c>
      <c r="O14" s="44">
        <f t="shared" si="3"/>
        <v>1657.142857142857</v>
      </c>
      <c r="Q14" s="44" t="s">
        <v>16</v>
      </c>
    </row>
    <row r="15" spans="1:17" ht="12.75">
      <c r="A15" s="45" t="s">
        <v>549</v>
      </c>
      <c r="B15" s="44" t="s">
        <v>31</v>
      </c>
      <c r="C15" s="44" t="s">
        <v>32</v>
      </c>
      <c r="D15" s="44" t="s">
        <v>87</v>
      </c>
      <c r="E15" s="44">
        <v>0</v>
      </c>
      <c r="F15" s="44">
        <v>1996</v>
      </c>
      <c r="G15" s="44">
        <v>1996</v>
      </c>
      <c r="H15" s="46">
        <f>VLOOKUP(G15,coefficienti!A$1:C$36,2)</f>
        <v>0.9420772303595207</v>
      </c>
      <c r="I15" s="44">
        <f t="shared" si="0"/>
        <v>9800</v>
      </c>
      <c r="J15" s="44">
        <v>10500</v>
      </c>
      <c r="K15" s="44">
        <v>6</v>
      </c>
      <c r="L15" s="44">
        <v>4</v>
      </c>
      <c r="M15" s="44">
        <f t="shared" si="1"/>
        <v>2</v>
      </c>
      <c r="N15" s="44">
        <f t="shared" si="2"/>
        <v>1750</v>
      </c>
      <c r="O15" s="44">
        <f t="shared" si="3"/>
        <v>3500</v>
      </c>
      <c r="Q15" s="44" t="s">
        <v>16</v>
      </c>
    </row>
    <row r="16" spans="1:17" ht="12.75">
      <c r="A16" s="45" t="s">
        <v>549</v>
      </c>
      <c r="B16" s="44" t="s">
        <v>88</v>
      </c>
      <c r="C16" s="44" t="s">
        <v>57</v>
      </c>
      <c r="E16" s="44">
        <v>0</v>
      </c>
      <c r="F16" s="44">
        <v>1990</v>
      </c>
      <c r="G16" s="44">
        <v>1990</v>
      </c>
      <c r="H16" s="46">
        <f>VLOOKUP(G16,coefficienti!A$1:C$36,2)</f>
        <v>0.6657789613848203</v>
      </c>
      <c r="I16" s="44">
        <f t="shared" si="0"/>
        <v>6100</v>
      </c>
      <c r="J16" s="44">
        <v>9300</v>
      </c>
      <c r="K16" s="44">
        <v>12</v>
      </c>
      <c r="L16" s="44">
        <v>10</v>
      </c>
      <c r="M16" s="44">
        <f t="shared" si="1"/>
        <v>2</v>
      </c>
      <c r="N16" s="44">
        <f t="shared" si="2"/>
        <v>775</v>
      </c>
      <c r="O16" s="44">
        <f t="shared" si="3"/>
        <v>1550</v>
      </c>
      <c r="Q16" s="44" t="s">
        <v>16</v>
      </c>
    </row>
    <row r="17" spans="1:17" ht="12.75">
      <c r="A17" s="45" t="s">
        <v>549</v>
      </c>
      <c r="B17" s="44" t="s">
        <v>44</v>
      </c>
      <c r="C17" s="44" t="s">
        <v>45</v>
      </c>
      <c r="D17" s="44" t="s">
        <v>89</v>
      </c>
      <c r="E17" s="44">
        <v>0</v>
      </c>
      <c r="F17" s="44">
        <v>1995</v>
      </c>
      <c r="G17" s="44">
        <v>1995</v>
      </c>
      <c r="H17" s="46">
        <f>VLOOKUP(G17,coefficienti!A$1:C$36,2)</f>
        <v>0.8794940079893475</v>
      </c>
      <c r="I17" s="44">
        <f t="shared" si="0"/>
        <v>2100</v>
      </c>
      <c r="J17" s="44">
        <v>2500</v>
      </c>
      <c r="K17" s="44">
        <v>7</v>
      </c>
      <c r="L17" s="44">
        <v>5</v>
      </c>
      <c r="M17" s="44">
        <f t="shared" si="1"/>
        <v>2</v>
      </c>
      <c r="N17" s="44">
        <f t="shared" si="2"/>
        <v>357.14285714285717</v>
      </c>
      <c r="O17" s="44">
        <f t="shared" si="3"/>
        <v>714.2857142857143</v>
      </c>
      <c r="Q17" s="44" t="s">
        <v>16</v>
      </c>
    </row>
    <row r="18" spans="1:17" ht="12.75">
      <c r="A18" s="45" t="s">
        <v>549</v>
      </c>
      <c r="B18" s="44" t="s">
        <v>90</v>
      </c>
      <c r="C18" s="44" t="s">
        <v>46</v>
      </c>
      <c r="D18" s="44" t="s">
        <v>91</v>
      </c>
      <c r="E18" s="44">
        <v>0</v>
      </c>
      <c r="F18" s="44">
        <v>1994</v>
      </c>
      <c r="G18" s="44">
        <v>1994</v>
      </c>
      <c r="H18" s="46">
        <f>VLOOKUP(G18,coefficienti!A$1:C$36,2)</f>
        <v>0.8169107856191745</v>
      </c>
      <c r="I18" s="44">
        <f t="shared" si="0"/>
        <v>6600</v>
      </c>
      <c r="J18" s="44">
        <v>8200</v>
      </c>
      <c r="K18" s="44">
        <v>8</v>
      </c>
      <c r="L18" s="44">
        <v>6</v>
      </c>
      <c r="M18" s="44">
        <f t="shared" si="1"/>
        <v>2</v>
      </c>
      <c r="N18" s="44">
        <f t="shared" si="2"/>
        <v>1025</v>
      </c>
      <c r="O18" s="44">
        <f t="shared" si="3"/>
        <v>2050</v>
      </c>
      <c r="Q18" s="44" t="s">
        <v>16</v>
      </c>
    </row>
    <row r="19" spans="1:17" ht="12.75">
      <c r="A19" s="45" t="s">
        <v>549</v>
      </c>
      <c r="B19" s="44" t="s">
        <v>92</v>
      </c>
      <c r="C19" s="44" t="s">
        <v>46</v>
      </c>
      <c r="D19" s="44" t="s">
        <v>93</v>
      </c>
      <c r="E19" s="44">
        <v>0</v>
      </c>
      <c r="F19" s="44">
        <v>1994</v>
      </c>
      <c r="G19" s="44">
        <v>1994</v>
      </c>
      <c r="H19" s="46">
        <f>VLOOKUP(G19,coefficienti!A$1:C$36,2)</f>
        <v>0.8169107856191745</v>
      </c>
      <c r="I19" s="44">
        <f t="shared" si="0"/>
        <v>6600</v>
      </c>
      <c r="J19" s="44">
        <v>8200</v>
      </c>
      <c r="K19" s="44">
        <v>8</v>
      </c>
      <c r="L19" s="44">
        <v>6</v>
      </c>
      <c r="M19" s="44">
        <f t="shared" si="1"/>
        <v>2</v>
      </c>
      <c r="N19" s="44">
        <f t="shared" si="2"/>
        <v>1025</v>
      </c>
      <c r="O19" s="44">
        <f t="shared" si="3"/>
        <v>2050</v>
      </c>
      <c r="Q19" s="44" t="s">
        <v>16</v>
      </c>
    </row>
    <row r="20" spans="1:17" ht="12.75">
      <c r="A20" s="45" t="s">
        <v>549</v>
      </c>
      <c r="B20" s="44" t="s">
        <v>94</v>
      </c>
      <c r="C20" s="44" t="s">
        <v>46</v>
      </c>
      <c r="E20" s="44">
        <v>0</v>
      </c>
      <c r="F20" s="44">
        <v>1999</v>
      </c>
      <c r="G20" s="44">
        <v>1993</v>
      </c>
      <c r="H20" s="46">
        <f>VLOOKUP(G20,coefficienti!A$1:C$36,2)</f>
        <v>0.7876165113182424</v>
      </c>
      <c r="I20" s="44">
        <f t="shared" si="0"/>
        <v>6400</v>
      </c>
      <c r="J20" s="44">
        <v>8200</v>
      </c>
      <c r="K20" s="44">
        <v>10</v>
      </c>
      <c r="L20" s="44">
        <v>7</v>
      </c>
      <c r="M20" s="44">
        <f t="shared" si="1"/>
        <v>3</v>
      </c>
      <c r="N20" s="44">
        <f t="shared" si="2"/>
        <v>820</v>
      </c>
      <c r="O20" s="44">
        <f t="shared" si="3"/>
        <v>2460</v>
      </c>
      <c r="Q20" s="44" t="s">
        <v>16</v>
      </c>
    </row>
    <row r="21" spans="1:17" ht="12.75">
      <c r="A21" s="45" t="s">
        <v>549</v>
      </c>
      <c r="B21" s="44" t="s">
        <v>33</v>
      </c>
      <c r="C21" s="44" t="s">
        <v>34</v>
      </c>
      <c r="D21" s="44" t="s">
        <v>95</v>
      </c>
      <c r="E21" s="44">
        <v>0</v>
      </c>
      <c r="F21" s="44">
        <v>1992</v>
      </c>
      <c r="G21" s="44">
        <v>1992</v>
      </c>
      <c r="H21" s="46">
        <f>VLOOKUP(G21,coefficienti!A$1:C$36,2)</f>
        <v>0.741011984021305</v>
      </c>
      <c r="I21" s="44">
        <f t="shared" si="0"/>
        <v>4200</v>
      </c>
      <c r="J21" s="44">
        <v>5800</v>
      </c>
      <c r="K21" s="44">
        <v>10</v>
      </c>
      <c r="L21" s="44">
        <v>8</v>
      </c>
      <c r="M21" s="44">
        <f t="shared" si="1"/>
        <v>2</v>
      </c>
      <c r="N21" s="44">
        <f t="shared" si="2"/>
        <v>580</v>
      </c>
      <c r="O21" s="44">
        <f t="shared" si="3"/>
        <v>1160</v>
      </c>
      <c r="Q21" s="44" t="s">
        <v>16</v>
      </c>
    </row>
    <row r="22" spans="1:17" ht="12.75">
      <c r="A22" s="45" t="s">
        <v>549</v>
      </c>
      <c r="B22" s="44" t="s">
        <v>96</v>
      </c>
      <c r="C22" s="44" t="s">
        <v>97</v>
      </c>
      <c r="E22" s="44">
        <v>0</v>
      </c>
      <c r="F22" s="44">
        <v>1997</v>
      </c>
      <c r="G22" s="44">
        <v>1997</v>
      </c>
      <c r="H22" s="46">
        <f>VLOOKUP(G22,coefficienti!A$1:C$36,2)</f>
        <v>0.9733688415446072</v>
      </c>
      <c r="I22" s="44">
        <f t="shared" si="0"/>
        <v>12600</v>
      </c>
      <c r="J22" s="44">
        <v>13000</v>
      </c>
      <c r="K22" s="44">
        <v>5</v>
      </c>
      <c r="L22" s="44">
        <v>3</v>
      </c>
      <c r="M22" s="44">
        <f t="shared" si="1"/>
        <v>2</v>
      </c>
      <c r="N22" s="44">
        <f t="shared" si="2"/>
        <v>2600</v>
      </c>
      <c r="O22" s="44">
        <f t="shared" si="3"/>
        <v>5200</v>
      </c>
      <c r="Q22" s="44" t="s">
        <v>16</v>
      </c>
    </row>
    <row r="23" spans="1:17" ht="12.75">
      <c r="A23" s="45" t="s">
        <v>549</v>
      </c>
      <c r="B23" s="44" t="s">
        <v>50</v>
      </c>
      <c r="C23" s="44" t="s">
        <v>51</v>
      </c>
      <c r="D23" s="44" t="s">
        <v>98</v>
      </c>
      <c r="E23" s="44">
        <v>0</v>
      </c>
      <c r="F23" s="44">
        <v>1998</v>
      </c>
      <c r="G23" s="44">
        <v>1998</v>
      </c>
      <c r="H23" s="46">
        <f>VLOOKUP(G23,coefficienti!A$1:C$36,2)</f>
        <v>0.9880159786950733</v>
      </c>
      <c r="I23" s="44">
        <f t="shared" si="0"/>
        <v>16800</v>
      </c>
      <c r="J23" s="44">
        <v>17100</v>
      </c>
      <c r="K23" s="44">
        <v>5</v>
      </c>
      <c r="L23" s="44">
        <v>2</v>
      </c>
      <c r="M23" s="44">
        <f t="shared" si="1"/>
        <v>3</v>
      </c>
      <c r="N23" s="44">
        <f t="shared" si="2"/>
        <v>3420</v>
      </c>
      <c r="O23" s="44">
        <f t="shared" si="3"/>
        <v>10260</v>
      </c>
      <c r="Q23" s="44" t="s">
        <v>16</v>
      </c>
    </row>
    <row r="24" spans="1:17" ht="12.75">
      <c r="A24" s="45" t="s">
        <v>549</v>
      </c>
      <c r="B24" s="44" t="s">
        <v>47</v>
      </c>
      <c r="C24" s="44" t="s">
        <v>48</v>
      </c>
      <c r="E24" s="44">
        <v>0</v>
      </c>
      <c r="F24" s="44">
        <v>1995</v>
      </c>
      <c r="G24" s="44">
        <v>1995</v>
      </c>
      <c r="H24" s="46">
        <f>VLOOKUP(G24,coefficienti!A$1:C$36,2)</f>
        <v>0.8794940079893475</v>
      </c>
      <c r="I24" s="44">
        <f t="shared" si="0"/>
        <v>4100</v>
      </c>
      <c r="J24" s="44">
        <v>4700</v>
      </c>
      <c r="K24" s="44">
        <v>7</v>
      </c>
      <c r="L24" s="44">
        <v>5</v>
      </c>
      <c r="M24" s="44">
        <f t="shared" si="1"/>
        <v>2</v>
      </c>
      <c r="N24" s="44">
        <f t="shared" si="2"/>
        <v>671.4285714285714</v>
      </c>
      <c r="O24" s="44">
        <f t="shared" si="3"/>
        <v>1342.857142857143</v>
      </c>
      <c r="Q24" s="44" t="s">
        <v>16</v>
      </c>
    </row>
    <row r="25" spans="1:17" ht="12.75">
      <c r="A25" s="45" t="s">
        <v>549</v>
      </c>
      <c r="B25" s="44" t="s">
        <v>35</v>
      </c>
      <c r="C25" s="44" t="s">
        <v>36</v>
      </c>
      <c r="D25" s="44" t="s">
        <v>70</v>
      </c>
      <c r="E25" s="44">
        <v>0</v>
      </c>
      <c r="F25" s="44">
        <v>1992</v>
      </c>
      <c r="G25" s="44">
        <v>1992</v>
      </c>
      <c r="H25" s="46">
        <f>VLOOKUP(G25,coefficienti!A$1:C$36,2)</f>
        <v>0.741011984021305</v>
      </c>
      <c r="I25" s="44">
        <f t="shared" si="0"/>
        <v>2400</v>
      </c>
      <c r="J25" s="44">
        <v>3300</v>
      </c>
      <c r="K25" s="44">
        <v>10</v>
      </c>
      <c r="L25" s="44">
        <v>8</v>
      </c>
      <c r="M25" s="44">
        <f t="shared" si="1"/>
        <v>2</v>
      </c>
      <c r="N25" s="44">
        <f t="shared" si="2"/>
        <v>330</v>
      </c>
      <c r="O25" s="44">
        <f t="shared" si="3"/>
        <v>660</v>
      </c>
      <c r="Q25" s="44" t="s">
        <v>16</v>
      </c>
    </row>
    <row r="26" spans="1:17" ht="12.75">
      <c r="A26" s="45" t="s">
        <v>549</v>
      </c>
      <c r="B26" s="44" t="s">
        <v>71</v>
      </c>
      <c r="C26" s="44" t="s">
        <v>72</v>
      </c>
      <c r="E26" s="44">
        <v>0</v>
      </c>
      <c r="F26" s="44">
        <v>1995</v>
      </c>
      <c r="G26" s="44">
        <v>1995</v>
      </c>
      <c r="H26" s="46">
        <f>VLOOKUP(G26,coefficienti!A$1:C$36,2)</f>
        <v>0.8794940079893475</v>
      </c>
      <c r="I26" s="44">
        <f t="shared" si="0"/>
        <v>28500</v>
      </c>
      <c r="J26" s="44">
        <v>32500</v>
      </c>
      <c r="K26" s="44">
        <v>7</v>
      </c>
      <c r="L26" s="44">
        <v>5</v>
      </c>
      <c r="M26" s="44">
        <f t="shared" si="1"/>
        <v>2</v>
      </c>
      <c r="N26" s="44">
        <f t="shared" si="2"/>
        <v>4642.857142857143</v>
      </c>
      <c r="O26" s="44">
        <f t="shared" si="3"/>
        <v>9285.714285714286</v>
      </c>
      <c r="Q26" s="44" t="s">
        <v>16</v>
      </c>
    </row>
    <row r="27" spans="1:17" ht="12.75">
      <c r="A27" s="45" t="s">
        <v>549</v>
      </c>
      <c r="B27" s="44" t="s">
        <v>58</v>
      </c>
      <c r="C27" s="44" t="s">
        <v>49</v>
      </c>
      <c r="E27" s="44">
        <v>0</v>
      </c>
      <c r="F27" s="44">
        <v>1997</v>
      </c>
      <c r="G27" s="44">
        <v>1997</v>
      </c>
      <c r="H27" s="46">
        <f>VLOOKUP(G27,coefficienti!A$1:C$36,2)</f>
        <v>0.9733688415446072</v>
      </c>
      <c r="I27" s="44">
        <f t="shared" si="0"/>
        <v>5200</v>
      </c>
      <c r="J27" s="44">
        <v>5400</v>
      </c>
      <c r="K27" s="44">
        <v>5</v>
      </c>
      <c r="L27" s="44">
        <v>3</v>
      </c>
      <c r="M27" s="44">
        <f t="shared" si="1"/>
        <v>2</v>
      </c>
      <c r="N27" s="44">
        <f t="shared" si="2"/>
        <v>1080</v>
      </c>
      <c r="O27" s="44">
        <f t="shared" si="3"/>
        <v>2160</v>
      </c>
      <c r="Q27" s="44" t="s">
        <v>16</v>
      </c>
    </row>
    <row r="28" spans="1:17" ht="12.75">
      <c r="A28" s="45" t="s">
        <v>549</v>
      </c>
      <c r="B28" s="44" t="s">
        <v>59</v>
      </c>
      <c r="C28" s="44" t="s">
        <v>60</v>
      </c>
      <c r="E28" s="44">
        <v>0</v>
      </c>
      <c r="F28" s="44">
        <v>1991</v>
      </c>
      <c r="G28" s="44">
        <v>1991</v>
      </c>
      <c r="H28" s="46">
        <f>VLOOKUP(G28,coefficienti!A$1:C$36,2)</f>
        <v>0.6929741685820822</v>
      </c>
      <c r="I28" s="44">
        <f t="shared" si="0"/>
        <v>11700</v>
      </c>
      <c r="J28" s="44">
        <v>17000</v>
      </c>
      <c r="K28" s="44">
        <v>11</v>
      </c>
      <c r="L28" s="44">
        <v>9</v>
      </c>
      <c r="M28" s="44">
        <f t="shared" si="1"/>
        <v>2</v>
      </c>
      <c r="N28" s="44">
        <f t="shared" si="2"/>
        <v>1545.4545454545455</v>
      </c>
      <c r="O28" s="44">
        <f t="shared" si="3"/>
        <v>3090.909090909091</v>
      </c>
      <c r="Q28" s="44" t="s">
        <v>16</v>
      </c>
    </row>
    <row r="29" spans="1:17" ht="12.75">
      <c r="A29" s="45" t="s">
        <v>549</v>
      </c>
      <c r="B29" s="44" t="s">
        <v>61</v>
      </c>
      <c r="C29" s="44" t="s">
        <v>62</v>
      </c>
      <c r="D29" s="44" t="s">
        <v>99</v>
      </c>
      <c r="E29" s="44">
        <v>0</v>
      </c>
      <c r="F29" s="44">
        <v>1983</v>
      </c>
      <c r="G29" s="44">
        <v>1983</v>
      </c>
      <c r="H29" s="46">
        <f>VLOOKUP(G29,coefficienti!A$1:C$36,2)</f>
        <v>0.3756967512806928</v>
      </c>
      <c r="I29" s="44">
        <f t="shared" si="0"/>
        <v>3200</v>
      </c>
      <c r="J29" s="44">
        <v>8700</v>
      </c>
      <c r="K29" s="44">
        <v>19</v>
      </c>
      <c r="L29" s="44">
        <v>17</v>
      </c>
      <c r="M29" s="44">
        <f t="shared" si="1"/>
        <v>2</v>
      </c>
      <c r="N29" s="44">
        <f t="shared" si="2"/>
        <v>457.89473684210526</v>
      </c>
      <c r="O29" s="44">
        <f t="shared" si="3"/>
        <v>915.7894736842105</v>
      </c>
      <c r="Q29" s="44" t="s">
        <v>16</v>
      </c>
    </row>
    <row r="30" spans="1:17" ht="12.75">
      <c r="A30" s="45" t="s">
        <v>549</v>
      </c>
      <c r="B30" s="44" t="s">
        <v>63</v>
      </c>
      <c r="C30" s="44" t="s">
        <v>64</v>
      </c>
      <c r="D30" s="44" t="s">
        <v>100</v>
      </c>
      <c r="E30" s="44">
        <v>0</v>
      </c>
      <c r="F30" s="44">
        <v>1991</v>
      </c>
      <c r="G30" s="44">
        <v>1991</v>
      </c>
      <c r="H30" s="46">
        <f>VLOOKUP(G30,coefficienti!A$1:C$36,2)</f>
        <v>0.6929741685820822</v>
      </c>
      <c r="I30" s="44">
        <f t="shared" si="0"/>
        <v>9000</v>
      </c>
      <c r="J30" s="44">
        <v>13000</v>
      </c>
      <c r="K30" s="44">
        <v>11</v>
      </c>
      <c r="L30" s="44">
        <v>9</v>
      </c>
      <c r="M30" s="44">
        <f t="shared" si="1"/>
        <v>2</v>
      </c>
      <c r="N30" s="44">
        <f t="shared" si="2"/>
        <v>1181.8181818181818</v>
      </c>
      <c r="O30" s="44">
        <f t="shared" si="3"/>
        <v>2363.6363636363635</v>
      </c>
      <c r="Q30" s="44" t="s">
        <v>16</v>
      </c>
    </row>
    <row r="31" spans="1:17" ht="12.75">
      <c r="A31" s="45" t="s">
        <v>549</v>
      </c>
      <c r="B31" s="44" t="s">
        <v>101</v>
      </c>
      <c r="C31" s="44" t="s">
        <v>73</v>
      </c>
      <c r="D31" s="44" t="s">
        <v>102</v>
      </c>
      <c r="E31" s="44">
        <v>0</v>
      </c>
      <c r="F31" s="44">
        <v>1983</v>
      </c>
      <c r="G31" s="44">
        <v>1983</v>
      </c>
      <c r="H31" s="46">
        <f>VLOOKUP(G31,coefficienti!A$1:C$36,2)</f>
        <v>0.3756967512806928</v>
      </c>
      <c r="I31" s="44">
        <f t="shared" si="0"/>
        <v>1700</v>
      </c>
      <c r="J31" s="44">
        <v>4700</v>
      </c>
      <c r="K31" s="44">
        <v>19</v>
      </c>
      <c r="L31" s="44">
        <v>17</v>
      </c>
      <c r="M31" s="44">
        <f t="shared" si="1"/>
        <v>2</v>
      </c>
      <c r="N31" s="44">
        <f t="shared" si="2"/>
        <v>247.3684210526316</v>
      </c>
      <c r="O31" s="44">
        <f t="shared" si="3"/>
        <v>494.7368421052632</v>
      </c>
      <c r="Q31" s="44" t="s">
        <v>16</v>
      </c>
    </row>
    <row r="32" spans="1:17" ht="12.75">
      <c r="A32" s="45" t="s">
        <v>549</v>
      </c>
      <c r="B32" s="44" t="s">
        <v>103</v>
      </c>
      <c r="C32" s="44" t="s">
        <v>73</v>
      </c>
      <c r="D32" s="44" t="s">
        <v>102</v>
      </c>
      <c r="E32" s="44">
        <v>0</v>
      </c>
      <c r="F32" s="44">
        <v>1988</v>
      </c>
      <c r="G32" s="44">
        <v>1988</v>
      </c>
      <c r="H32" s="46">
        <f>VLOOKUP(G32,coefficienti!A$1:C$36,2)</f>
        <v>0.5925029864366423</v>
      </c>
      <c r="I32" s="44">
        <f t="shared" si="0"/>
        <v>2700</v>
      </c>
      <c r="J32" s="44">
        <v>4700</v>
      </c>
      <c r="K32" s="44">
        <v>14</v>
      </c>
      <c r="L32" s="44">
        <v>12</v>
      </c>
      <c r="M32" s="44">
        <f t="shared" si="1"/>
        <v>2</v>
      </c>
      <c r="N32" s="44">
        <f t="shared" si="2"/>
        <v>335.7142857142857</v>
      </c>
      <c r="O32" s="44">
        <f t="shared" si="3"/>
        <v>671.4285714285714</v>
      </c>
      <c r="Q32" s="44" t="s">
        <v>16</v>
      </c>
    </row>
    <row r="33" spans="1:17" ht="12.75">
      <c r="A33" s="45" t="s">
        <v>549</v>
      </c>
      <c r="B33" s="44" t="s">
        <v>104</v>
      </c>
      <c r="C33" s="44" t="s">
        <v>73</v>
      </c>
      <c r="D33" s="44" t="s">
        <v>105</v>
      </c>
      <c r="E33" s="44">
        <v>0</v>
      </c>
      <c r="F33" s="44">
        <v>1995</v>
      </c>
      <c r="G33" s="44">
        <v>1995</v>
      </c>
      <c r="H33" s="46">
        <f>VLOOKUP(G33,coefficienti!A$1:C$36,2)</f>
        <v>0.8794940079893475</v>
      </c>
      <c r="I33" s="44">
        <f t="shared" si="0"/>
        <v>4100</v>
      </c>
      <c r="J33" s="44">
        <v>4700</v>
      </c>
      <c r="K33" s="44">
        <v>7</v>
      </c>
      <c r="L33" s="44">
        <v>5</v>
      </c>
      <c r="M33" s="44">
        <f t="shared" si="1"/>
        <v>2</v>
      </c>
      <c r="N33" s="44">
        <f t="shared" si="2"/>
        <v>671.4285714285714</v>
      </c>
      <c r="O33" s="44">
        <f t="shared" si="3"/>
        <v>1342.857142857143</v>
      </c>
      <c r="Q33" s="44" t="s">
        <v>16</v>
      </c>
    </row>
    <row r="34" spans="1:17" ht="12.75">
      <c r="A34" s="45" t="s">
        <v>549</v>
      </c>
      <c r="B34" s="44" t="s">
        <v>65</v>
      </c>
      <c r="C34" s="44" t="s">
        <v>66</v>
      </c>
      <c r="D34" s="44" t="s">
        <v>106</v>
      </c>
      <c r="E34" s="44">
        <v>0</v>
      </c>
      <c r="F34" s="44">
        <v>1983</v>
      </c>
      <c r="G34" s="44">
        <v>1983</v>
      </c>
      <c r="H34" s="46">
        <f>VLOOKUP(G34,coefficienti!A$1:C$36,2)</f>
        <v>0.3756967512806928</v>
      </c>
      <c r="I34" s="44">
        <f t="shared" si="0"/>
        <v>9500</v>
      </c>
      <c r="J34" s="44">
        <v>25300</v>
      </c>
      <c r="K34" s="44">
        <v>19</v>
      </c>
      <c r="L34" s="44">
        <v>17</v>
      </c>
      <c r="M34" s="44">
        <f t="shared" si="1"/>
        <v>2</v>
      </c>
      <c r="N34" s="44">
        <f t="shared" si="2"/>
        <v>1331.578947368421</v>
      </c>
      <c r="O34" s="44">
        <f t="shared" si="3"/>
        <v>2663.157894736842</v>
      </c>
      <c r="Q34" s="44" t="s">
        <v>16</v>
      </c>
    </row>
    <row r="35" spans="1:17" ht="12.75">
      <c r="A35" s="45" t="s">
        <v>549</v>
      </c>
      <c r="B35" s="44" t="s">
        <v>74</v>
      </c>
      <c r="C35" s="44" t="s">
        <v>66</v>
      </c>
      <c r="D35" s="44" t="s">
        <v>107</v>
      </c>
      <c r="E35" s="44">
        <v>0</v>
      </c>
      <c r="F35" s="44">
        <v>1992</v>
      </c>
      <c r="G35" s="44">
        <v>1992</v>
      </c>
      <c r="H35" s="46">
        <f>VLOOKUP(G35,coefficienti!A$1:C$36,2)</f>
        <v>0.741011984021305</v>
      </c>
      <c r="I35" s="44">
        <f t="shared" si="0"/>
        <v>1700</v>
      </c>
      <c r="J35" s="44">
        <v>2300</v>
      </c>
      <c r="K35" s="44">
        <v>10</v>
      </c>
      <c r="L35" s="44">
        <v>8</v>
      </c>
      <c r="M35" s="44">
        <f t="shared" si="1"/>
        <v>2</v>
      </c>
      <c r="N35" s="44">
        <f t="shared" si="2"/>
        <v>230</v>
      </c>
      <c r="O35" s="44">
        <f t="shared" si="3"/>
        <v>460</v>
      </c>
      <c r="Q35" s="44" t="s">
        <v>16</v>
      </c>
    </row>
    <row r="36" spans="1:17" ht="12.75">
      <c r="A36" s="45" t="s">
        <v>549</v>
      </c>
      <c r="B36" s="44" t="s">
        <v>75</v>
      </c>
      <c r="C36" s="44" t="s">
        <v>66</v>
      </c>
      <c r="D36" s="44" t="s">
        <v>108</v>
      </c>
      <c r="E36" s="44">
        <v>0</v>
      </c>
      <c r="F36" s="44">
        <v>1994</v>
      </c>
      <c r="G36" s="44">
        <v>1994</v>
      </c>
      <c r="H36" s="46">
        <f>VLOOKUP(G36,coefficienti!A$1:C$36,2)</f>
        <v>0.8169107856191745</v>
      </c>
      <c r="I36" s="44">
        <f t="shared" si="0"/>
        <v>1100</v>
      </c>
      <c r="J36" s="44">
        <v>1400</v>
      </c>
      <c r="K36" s="44">
        <v>8</v>
      </c>
      <c r="L36" s="44">
        <v>6</v>
      </c>
      <c r="M36" s="44">
        <f t="shared" si="1"/>
        <v>2</v>
      </c>
      <c r="N36" s="44">
        <f t="shared" si="2"/>
        <v>175</v>
      </c>
      <c r="O36" s="44">
        <f t="shared" si="3"/>
        <v>350</v>
      </c>
      <c r="Q36" s="44" t="s">
        <v>16</v>
      </c>
    </row>
    <row r="37" spans="1:17" ht="12.75">
      <c r="A37" s="45" t="s">
        <v>549</v>
      </c>
      <c r="B37" s="44" t="s">
        <v>109</v>
      </c>
      <c r="C37" s="44" t="s">
        <v>110</v>
      </c>
      <c r="D37" s="44" t="s">
        <v>111</v>
      </c>
      <c r="E37" s="44">
        <v>0</v>
      </c>
      <c r="F37" s="44">
        <v>1996</v>
      </c>
      <c r="G37" s="44">
        <v>1996</v>
      </c>
      <c r="H37" s="46">
        <f>VLOOKUP(G37,coefficienti!A$1:C$36,2)</f>
        <v>0.9420772303595207</v>
      </c>
      <c r="I37" s="44">
        <f t="shared" si="0"/>
        <v>4000</v>
      </c>
      <c r="J37" s="44">
        <v>4300</v>
      </c>
      <c r="K37" s="44">
        <v>6</v>
      </c>
      <c r="L37" s="44">
        <v>4</v>
      </c>
      <c r="M37" s="44">
        <f t="shared" si="1"/>
        <v>2</v>
      </c>
      <c r="N37" s="44">
        <f t="shared" si="2"/>
        <v>716.6666666666666</v>
      </c>
      <c r="O37" s="44">
        <f t="shared" si="3"/>
        <v>1433.3333333333333</v>
      </c>
      <c r="Q37" s="44" t="s">
        <v>16</v>
      </c>
    </row>
    <row r="38" spans="1:17" ht="12.75">
      <c r="A38" s="45" t="s">
        <v>549</v>
      </c>
      <c r="B38" s="44" t="s">
        <v>112</v>
      </c>
      <c r="C38" s="44" t="s">
        <v>110</v>
      </c>
      <c r="D38" s="44" t="s">
        <v>113</v>
      </c>
      <c r="E38" s="44">
        <v>0</v>
      </c>
      <c r="F38" s="44">
        <v>1983</v>
      </c>
      <c r="G38" s="44">
        <v>1983</v>
      </c>
      <c r="H38" s="46">
        <f>VLOOKUP(G38,coefficienti!A$1:C$36,2)</f>
        <v>0.3756967512806928</v>
      </c>
      <c r="I38" s="44">
        <f t="shared" si="0"/>
        <v>1600</v>
      </c>
      <c r="J38" s="44">
        <v>4300</v>
      </c>
      <c r="K38" s="44">
        <v>19</v>
      </c>
      <c r="L38" s="44">
        <v>17</v>
      </c>
      <c r="M38" s="44">
        <f t="shared" si="1"/>
        <v>2</v>
      </c>
      <c r="N38" s="44">
        <f t="shared" si="2"/>
        <v>226.31578947368422</v>
      </c>
      <c r="O38" s="44">
        <f t="shared" si="3"/>
        <v>452.63157894736844</v>
      </c>
      <c r="Q38" s="44" t="s">
        <v>16</v>
      </c>
    </row>
    <row r="39" spans="1:17" ht="12.75">
      <c r="A39" s="45" t="s">
        <v>549</v>
      </c>
      <c r="B39" s="44" t="s">
        <v>114</v>
      </c>
      <c r="C39" s="44" t="s">
        <v>115</v>
      </c>
      <c r="D39" s="44" t="s">
        <v>116</v>
      </c>
      <c r="E39" s="44">
        <v>0</v>
      </c>
      <c r="F39" s="44">
        <v>1983</v>
      </c>
      <c r="G39" s="44">
        <v>1983</v>
      </c>
      <c r="H39" s="46">
        <f>VLOOKUP(G39,coefficienti!A$1:C$36,2)</f>
        <v>0.3756967512806928</v>
      </c>
      <c r="I39" s="44">
        <f t="shared" si="0"/>
        <v>1300</v>
      </c>
      <c r="J39" s="44">
        <v>3600</v>
      </c>
      <c r="K39" s="44">
        <v>19</v>
      </c>
      <c r="L39" s="44">
        <v>17</v>
      </c>
      <c r="M39" s="44">
        <f t="shared" si="1"/>
        <v>2</v>
      </c>
      <c r="N39" s="44">
        <f t="shared" si="2"/>
        <v>189.47368421052633</v>
      </c>
      <c r="O39" s="44">
        <f t="shared" si="3"/>
        <v>378.94736842105266</v>
      </c>
      <c r="Q39" s="44" t="s">
        <v>16</v>
      </c>
    </row>
    <row r="40" spans="1:17" ht="12.75">
      <c r="A40" s="45" t="s">
        <v>549</v>
      </c>
      <c r="B40" s="44" t="s">
        <v>52</v>
      </c>
      <c r="C40" s="44" t="s">
        <v>53</v>
      </c>
      <c r="D40" s="44" t="s">
        <v>117</v>
      </c>
      <c r="E40" s="44">
        <v>0</v>
      </c>
      <c r="F40" s="44">
        <v>1975</v>
      </c>
      <c r="G40" s="44">
        <v>1975</v>
      </c>
      <c r="H40" s="46">
        <f>VLOOKUP(G40,coefficienti!A$1:C$36,2)</f>
        <v>0.11709047543265562</v>
      </c>
      <c r="I40" s="44">
        <f>INT(J40*H40/10)*10</f>
        <v>80</v>
      </c>
      <c r="J40" s="44">
        <v>700</v>
      </c>
      <c r="K40" s="44">
        <v>27</v>
      </c>
      <c r="L40" s="44">
        <v>25</v>
      </c>
      <c r="M40" s="44">
        <f t="shared" si="1"/>
        <v>2</v>
      </c>
      <c r="N40" s="44">
        <f t="shared" si="2"/>
        <v>25.925925925925927</v>
      </c>
      <c r="O40" s="44">
        <f t="shared" si="3"/>
        <v>51.851851851851855</v>
      </c>
      <c r="Q40" s="44" t="s">
        <v>16</v>
      </c>
    </row>
    <row r="41" spans="1:17" ht="12.75">
      <c r="A41" s="45" t="s">
        <v>549</v>
      </c>
      <c r="B41" s="44" t="s">
        <v>54</v>
      </c>
      <c r="C41" s="44" t="s">
        <v>53</v>
      </c>
      <c r="D41" s="44" t="s">
        <v>118</v>
      </c>
      <c r="E41" s="44">
        <v>0</v>
      </c>
      <c r="F41" s="44">
        <v>1989</v>
      </c>
      <c r="G41" s="44">
        <v>1989</v>
      </c>
      <c r="H41" s="46">
        <f>VLOOKUP(G41,coefficienti!A$1:C$36,2)</f>
        <v>0.6322885673363403</v>
      </c>
      <c r="I41" s="44">
        <f>INT(J41*H41/100)*100</f>
        <v>600</v>
      </c>
      <c r="J41" s="44">
        <v>1100</v>
      </c>
      <c r="K41" s="44">
        <v>13</v>
      </c>
      <c r="L41" s="44">
        <v>11</v>
      </c>
      <c r="M41" s="44">
        <f t="shared" si="1"/>
        <v>2</v>
      </c>
      <c r="N41" s="44">
        <f t="shared" si="2"/>
        <v>84.61538461538461</v>
      </c>
      <c r="O41" s="44">
        <f t="shared" si="3"/>
        <v>169.23076923076923</v>
      </c>
      <c r="Q41" s="44" t="s">
        <v>16</v>
      </c>
    </row>
    <row r="42" spans="1:17" ht="12.75">
      <c r="A42" s="45" t="s">
        <v>549</v>
      </c>
      <c r="B42" s="44" t="s">
        <v>37</v>
      </c>
      <c r="C42" s="44" t="s">
        <v>38</v>
      </c>
      <c r="E42" s="44">
        <v>0</v>
      </c>
      <c r="F42" s="44">
        <v>0</v>
      </c>
      <c r="G42" s="44">
        <v>0</v>
      </c>
      <c r="H42" s="46">
        <v>0.6</v>
      </c>
      <c r="I42" s="44">
        <f>INT(J42*H42/100)*100</f>
        <v>4300</v>
      </c>
      <c r="J42" s="44">
        <v>7200</v>
      </c>
      <c r="K42" s="44">
        <v>8</v>
      </c>
      <c r="L42" s="44">
        <v>4</v>
      </c>
      <c r="M42" s="44">
        <f t="shared" si="1"/>
        <v>4</v>
      </c>
      <c r="N42" s="44">
        <f t="shared" si="2"/>
        <v>900</v>
      </c>
      <c r="O42" s="44">
        <f t="shared" si="3"/>
        <v>3600</v>
      </c>
      <c r="Q42" s="44" t="s">
        <v>16</v>
      </c>
    </row>
    <row r="43" spans="1:17" ht="12.75">
      <c r="A43" s="45" t="s">
        <v>549</v>
      </c>
      <c r="B43" s="44" t="s">
        <v>119</v>
      </c>
      <c r="C43" s="44" t="s">
        <v>120</v>
      </c>
      <c r="D43" s="44" t="s">
        <v>121</v>
      </c>
      <c r="E43" s="44">
        <v>0</v>
      </c>
      <c r="F43" s="44">
        <v>1983</v>
      </c>
      <c r="G43" s="44">
        <v>1983</v>
      </c>
      <c r="H43" s="46">
        <f>VLOOKUP(G43,coefficienti!A$1:C$36,2)</f>
        <v>0.3756967512806928</v>
      </c>
      <c r="I43" s="44">
        <f>INT(J43*H43/100)*100</f>
        <v>3200</v>
      </c>
      <c r="J43" s="44">
        <v>8700</v>
      </c>
      <c r="K43" s="44">
        <v>19</v>
      </c>
      <c r="L43" s="44">
        <v>17</v>
      </c>
      <c r="M43" s="44">
        <f t="shared" si="1"/>
        <v>2</v>
      </c>
      <c r="N43" s="44">
        <f t="shared" si="2"/>
        <v>457.89473684210526</v>
      </c>
      <c r="O43" s="44">
        <f t="shared" si="3"/>
        <v>915.7894736842105</v>
      </c>
      <c r="Q43" s="44" t="s">
        <v>16</v>
      </c>
    </row>
    <row r="44" spans="1:17" ht="12.75">
      <c r="A44" s="45" t="s">
        <v>549</v>
      </c>
      <c r="B44" s="44" t="s">
        <v>122</v>
      </c>
      <c r="C44" s="44" t="s">
        <v>120</v>
      </c>
      <c r="D44" s="44" t="s">
        <v>121</v>
      </c>
      <c r="E44" s="44">
        <v>0</v>
      </c>
      <c r="F44" s="44">
        <v>1988</v>
      </c>
      <c r="G44" s="44">
        <v>1988</v>
      </c>
      <c r="H44" s="46">
        <f>VLOOKUP(G44,coefficienti!A$1:C$36,2)</f>
        <v>0.5925029864366423</v>
      </c>
      <c r="I44" s="44">
        <f>INT(J44*H44/100)*100</f>
        <v>5100</v>
      </c>
      <c r="J44" s="44">
        <v>8700</v>
      </c>
      <c r="K44" s="44">
        <v>14</v>
      </c>
      <c r="L44" s="44">
        <v>12</v>
      </c>
      <c r="M44" s="44">
        <f t="shared" si="1"/>
        <v>2</v>
      </c>
      <c r="N44" s="44">
        <f t="shared" si="2"/>
        <v>621.4285714285714</v>
      </c>
      <c r="O44" s="44">
        <f t="shared" si="3"/>
        <v>1242.857142857143</v>
      </c>
      <c r="Q44" s="44" t="s">
        <v>16</v>
      </c>
    </row>
    <row r="45" spans="1:17" ht="12.75">
      <c r="A45" s="45" t="s">
        <v>549</v>
      </c>
      <c r="B45" s="44" t="s">
        <v>39</v>
      </c>
      <c r="C45" s="44" t="s">
        <v>40</v>
      </c>
      <c r="D45" s="44" t="s">
        <v>123</v>
      </c>
      <c r="E45" s="44">
        <v>0</v>
      </c>
      <c r="F45" s="44">
        <v>1983</v>
      </c>
      <c r="G45" s="44">
        <v>1983</v>
      </c>
      <c r="H45" s="46">
        <f>VLOOKUP(G45,coefficienti!A$1:C$36,2)</f>
        <v>0.3756967512806928</v>
      </c>
      <c r="I45" s="44">
        <f>INT(J45*H45/100)*100</f>
        <v>3200</v>
      </c>
      <c r="J45" s="44">
        <v>8700</v>
      </c>
      <c r="K45" s="44">
        <v>19</v>
      </c>
      <c r="L45" s="44">
        <v>17</v>
      </c>
      <c r="M45" s="44">
        <f t="shared" si="1"/>
        <v>2</v>
      </c>
      <c r="N45" s="44">
        <f t="shared" si="2"/>
        <v>457.89473684210526</v>
      </c>
      <c r="O45" s="44">
        <f t="shared" si="3"/>
        <v>915.7894736842105</v>
      </c>
      <c r="Q45" s="44" t="s">
        <v>16</v>
      </c>
    </row>
    <row r="46" spans="9:15" ht="12.75">
      <c r="I46" s="44">
        <f>SUM(I3:I45)</f>
        <v>314880</v>
      </c>
      <c r="J46" s="44">
        <f>SUM(J3:J45)</f>
        <v>445800</v>
      </c>
      <c r="N46" s="44">
        <f>SUM(N3:N45)</f>
        <v>48300.29894325948</v>
      </c>
      <c r="O46" s="44">
        <f>SUM(O3:O45)</f>
        <v>105520.59788651897</v>
      </c>
    </row>
    <row r="47" spans="3:14" ht="12.75">
      <c r="C47" s="44" t="s">
        <v>454</v>
      </c>
      <c r="J47" s="44">
        <f>+J46-O46</f>
        <v>340279.402113481</v>
      </c>
      <c r="N47" s="47">
        <f>+N46/J46</f>
        <v>0.10834521970224198</v>
      </c>
    </row>
    <row r="48" ht="12.75">
      <c r="N48" s="47"/>
    </row>
    <row r="49" spans="1:14" ht="12.75">
      <c r="A49" s="44" t="s">
        <v>345</v>
      </c>
      <c r="N49" s="47"/>
    </row>
    <row r="50" spans="1:17" ht="12.75">
      <c r="A50" s="44" t="s">
        <v>1</v>
      </c>
      <c r="B50" s="44" t="s">
        <v>2</v>
      </c>
      <c r="C50" s="44" t="s">
        <v>3</v>
      </c>
      <c r="D50" s="44" t="s">
        <v>15</v>
      </c>
      <c r="E50" s="44" t="s">
        <v>4</v>
      </c>
      <c r="F50" s="44" t="s">
        <v>5</v>
      </c>
      <c r="G50" s="44" t="s">
        <v>6</v>
      </c>
      <c r="H50" s="44" t="s">
        <v>338</v>
      </c>
      <c r="I50" s="44" t="s">
        <v>339</v>
      </c>
      <c r="J50" s="44" t="s">
        <v>7</v>
      </c>
      <c r="K50" s="44" t="s">
        <v>9</v>
      </c>
      <c r="L50" s="44" t="s">
        <v>10</v>
      </c>
      <c r="M50" s="44" t="s">
        <v>8</v>
      </c>
      <c r="N50" s="44" t="s">
        <v>11</v>
      </c>
      <c r="O50" s="44" t="s">
        <v>12</v>
      </c>
      <c r="P50" s="44" t="s">
        <v>13</v>
      </c>
      <c r="Q50" s="44" t="s">
        <v>14</v>
      </c>
    </row>
    <row r="51" spans="1:17" ht="12.75">
      <c r="A51" s="45" t="s">
        <v>549</v>
      </c>
      <c r="B51" s="44" t="s">
        <v>17</v>
      </c>
      <c r="C51" s="44" t="s">
        <v>18</v>
      </c>
      <c r="D51" s="44" t="s">
        <v>80</v>
      </c>
      <c r="E51" s="44">
        <v>67</v>
      </c>
      <c r="F51" s="44">
        <v>1986</v>
      </c>
      <c r="G51" s="44">
        <v>1986</v>
      </c>
      <c r="H51" s="46">
        <f>VLOOKUP(G51,coefficienti!A$1:C$36,2)</f>
        <v>0.5396234168864108</v>
      </c>
      <c r="I51" s="44">
        <f>INT(J51*H51/100)*100</f>
        <v>15500</v>
      </c>
      <c r="J51" s="44">
        <v>28900</v>
      </c>
      <c r="K51" s="44">
        <v>10</v>
      </c>
      <c r="L51" s="44">
        <v>14</v>
      </c>
      <c r="M51" s="44">
        <f>IF(L51&gt;K51,0,K51-L51)</f>
        <v>0</v>
      </c>
      <c r="N51" s="44">
        <f>IF((L51&gt;K51),0,I51/K51)</f>
        <v>0</v>
      </c>
      <c r="O51" s="44">
        <f>+N51*M51</f>
        <v>0</v>
      </c>
      <c r="Q51" s="44" t="s">
        <v>16</v>
      </c>
    </row>
    <row r="52" spans="1:17" ht="12.75">
      <c r="A52" s="45" t="s">
        <v>549</v>
      </c>
      <c r="B52" s="44" t="s">
        <v>19</v>
      </c>
      <c r="C52" s="44" t="s">
        <v>18</v>
      </c>
      <c r="D52" s="44" t="s">
        <v>81</v>
      </c>
      <c r="E52" s="44">
        <v>100</v>
      </c>
      <c r="F52" s="44">
        <v>1993</v>
      </c>
      <c r="G52" s="44">
        <v>1991</v>
      </c>
      <c r="H52" s="46">
        <f>VLOOKUP(G52,coefficienti!A$1:C$36,2)</f>
        <v>0.6929741685820822</v>
      </c>
      <c r="I52" s="44">
        <f aca="true" t="shared" si="4" ref="I52:I87">INT(J52*H52/100)*100</f>
        <v>42600</v>
      </c>
      <c r="J52" s="44">
        <v>61500</v>
      </c>
      <c r="K52" s="44">
        <v>10</v>
      </c>
      <c r="L52" s="44">
        <v>9</v>
      </c>
      <c r="M52" s="44">
        <f aca="true" t="shared" si="5" ref="M52:M93">IF(L52&gt;K52,0,K52-L52)</f>
        <v>1</v>
      </c>
      <c r="N52" s="44">
        <f aca="true" t="shared" si="6" ref="N52:N93">IF((L52&gt;K52),0,I52/K52)</f>
        <v>4260</v>
      </c>
      <c r="O52" s="44">
        <f aca="true" t="shared" si="7" ref="O52:O93">+N52*M52</f>
        <v>4260</v>
      </c>
      <c r="Q52" s="44" t="s">
        <v>16</v>
      </c>
    </row>
    <row r="53" spans="1:17" ht="12.75">
      <c r="A53" s="45" t="s">
        <v>549</v>
      </c>
      <c r="B53" s="44" t="s">
        <v>55</v>
      </c>
      <c r="C53" s="44" t="s">
        <v>18</v>
      </c>
      <c r="D53" s="44" t="s">
        <v>81</v>
      </c>
      <c r="E53" s="44">
        <v>100</v>
      </c>
      <c r="F53" s="44">
        <v>1993</v>
      </c>
      <c r="G53" s="44">
        <v>1993</v>
      </c>
      <c r="H53" s="46">
        <f>VLOOKUP(G53,coefficienti!A$1:C$36,2)</f>
        <v>0.7876165113182424</v>
      </c>
      <c r="I53" s="44">
        <f t="shared" si="4"/>
        <v>48400</v>
      </c>
      <c r="J53" s="44">
        <v>61500</v>
      </c>
      <c r="K53" s="44">
        <v>10</v>
      </c>
      <c r="L53" s="44">
        <v>7</v>
      </c>
      <c r="M53" s="44">
        <f t="shared" si="5"/>
        <v>3</v>
      </c>
      <c r="N53" s="44">
        <f t="shared" si="6"/>
        <v>4840</v>
      </c>
      <c r="O53" s="44">
        <f t="shared" si="7"/>
        <v>14520</v>
      </c>
      <c r="Q53" s="44" t="s">
        <v>16</v>
      </c>
    </row>
    <row r="54" spans="1:17" ht="12.75">
      <c r="A54" s="45" t="s">
        <v>549</v>
      </c>
      <c r="B54" s="44" t="s">
        <v>20</v>
      </c>
      <c r="C54" s="44" t="s">
        <v>21</v>
      </c>
      <c r="D54" s="44" t="s">
        <v>82</v>
      </c>
      <c r="E54" s="44">
        <v>8</v>
      </c>
      <c r="F54" s="44">
        <v>1990</v>
      </c>
      <c r="G54" s="44">
        <v>1990</v>
      </c>
      <c r="H54" s="46">
        <f>VLOOKUP(G54,coefficienti!A$1:C$36,2)</f>
        <v>0.6657789613848203</v>
      </c>
      <c r="I54" s="44">
        <f t="shared" si="4"/>
        <v>1600</v>
      </c>
      <c r="J54" s="44">
        <v>2500</v>
      </c>
      <c r="K54" s="44">
        <v>15</v>
      </c>
      <c r="L54" s="44">
        <v>10</v>
      </c>
      <c r="M54" s="44">
        <f t="shared" si="5"/>
        <v>5</v>
      </c>
      <c r="N54" s="44">
        <f t="shared" si="6"/>
        <v>106.66666666666667</v>
      </c>
      <c r="O54" s="44">
        <f t="shared" si="7"/>
        <v>533.3333333333334</v>
      </c>
      <c r="Q54" s="44" t="s">
        <v>16</v>
      </c>
    </row>
    <row r="55" spans="1:17" ht="12.75">
      <c r="A55" s="45" t="s">
        <v>549</v>
      </c>
      <c r="B55" s="44" t="s">
        <v>41</v>
      </c>
      <c r="C55" s="44" t="s">
        <v>42</v>
      </c>
      <c r="E55" s="44">
        <v>0</v>
      </c>
      <c r="F55" s="44">
        <v>1992</v>
      </c>
      <c r="G55" s="44">
        <v>1992</v>
      </c>
      <c r="H55" s="46">
        <f>VLOOKUP(G55,coefficienti!A$1:C$36,2)</f>
        <v>0.741011984021305</v>
      </c>
      <c r="I55" s="44">
        <f t="shared" si="4"/>
        <v>1600</v>
      </c>
      <c r="J55" s="44">
        <v>2200</v>
      </c>
      <c r="K55" s="44">
        <v>15</v>
      </c>
      <c r="L55" s="44">
        <v>8</v>
      </c>
      <c r="M55" s="44">
        <f t="shared" si="5"/>
        <v>7</v>
      </c>
      <c r="N55" s="44">
        <f t="shared" si="6"/>
        <v>106.66666666666667</v>
      </c>
      <c r="O55" s="44">
        <f t="shared" si="7"/>
        <v>746.6666666666667</v>
      </c>
      <c r="Q55" s="44" t="s">
        <v>16</v>
      </c>
    </row>
    <row r="56" spans="1:17" ht="12.75">
      <c r="A56" s="45" t="s">
        <v>549</v>
      </c>
      <c r="B56" s="44" t="s">
        <v>22</v>
      </c>
      <c r="C56" s="44" t="s">
        <v>23</v>
      </c>
      <c r="E56" s="44">
        <v>0</v>
      </c>
      <c r="F56" s="44">
        <v>1998</v>
      </c>
      <c r="G56" s="44">
        <v>1998</v>
      </c>
      <c r="H56" s="46">
        <f>VLOOKUP(G56,coefficienti!A$1:C$36,2)</f>
        <v>0.9880159786950733</v>
      </c>
      <c r="I56" s="44">
        <f t="shared" si="4"/>
        <v>6400</v>
      </c>
      <c r="J56" s="44">
        <v>6500</v>
      </c>
      <c r="K56" s="44">
        <v>15</v>
      </c>
      <c r="L56" s="44">
        <v>2</v>
      </c>
      <c r="M56" s="44">
        <f t="shared" si="5"/>
        <v>13</v>
      </c>
      <c r="N56" s="44">
        <f t="shared" si="6"/>
        <v>426.6666666666667</v>
      </c>
      <c r="O56" s="44">
        <f t="shared" si="7"/>
        <v>5546.666666666667</v>
      </c>
      <c r="Q56" s="44" t="s">
        <v>16</v>
      </c>
    </row>
    <row r="57" spans="1:17" ht="12.75">
      <c r="A57" s="45" t="s">
        <v>549</v>
      </c>
      <c r="B57" s="44" t="s">
        <v>24</v>
      </c>
      <c r="C57" s="44" t="s">
        <v>25</v>
      </c>
      <c r="D57" s="44" t="s">
        <v>83</v>
      </c>
      <c r="E57" s="44">
        <v>0</v>
      </c>
      <c r="F57" s="44">
        <v>1999</v>
      </c>
      <c r="G57" s="44">
        <v>1999</v>
      </c>
      <c r="H57" s="46">
        <f>VLOOKUP(G57,coefficienti!A$1:C$36,2)</f>
        <v>0.9919551708832667</v>
      </c>
      <c r="I57" s="44">
        <f t="shared" si="4"/>
        <v>3900</v>
      </c>
      <c r="J57" s="44">
        <v>4000</v>
      </c>
      <c r="K57" s="44">
        <v>15</v>
      </c>
      <c r="L57" s="44">
        <v>1</v>
      </c>
      <c r="M57" s="44">
        <f t="shared" si="5"/>
        <v>14</v>
      </c>
      <c r="N57" s="44">
        <f t="shared" si="6"/>
        <v>260</v>
      </c>
      <c r="O57" s="44">
        <f t="shared" si="7"/>
        <v>3640</v>
      </c>
      <c r="Q57" s="44" t="s">
        <v>16</v>
      </c>
    </row>
    <row r="58" spans="1:17" ht="12.75">
      <c r="A58" s="45" t="s">
        <v>549</v>
      </c>
      <c r="B58" s="44" t="s">
        <v>77</v>
      </c>
      <c r="C58" s="44" t="s">
        <v>78</v>
      </c>
      <c r="D58" s="44" t="s">
        <v>84</v>
      </c>
      <c r="E58" s="44">
        <v>0</v>
      </c>
      <c r="F58" s="44">
        <v>1998</v>
      </c>
      <c r="G58" s="44">
        <v>1998</v>
      </c>
      <c r="H58" s="46">
        <f>VLOOKUP(G58,coefficienti!A$1:C$36,2)</f>
        <v>0.9880159786950733</v>
      </c>
      <c r="I58" s="44">
        <f t="shared" si="4"/>
        <v>2800</v>
      </c>
      <c r="J58" s="44">
        <v>2900</v>
      </c>
      <c r="K58" s="44">
        <v>15</v>
      </c>
      <c r="L58" s="44">
        <v>2</v>
      </c>
      <c r="M58" s="44">
        <f t="shared" si="5"/>
        <v>13</v>
      </c>
      <c r="N58" s="44">
        <f t="shared" si="6"/>
        <v>186.66666666666666</v>
      </c>
      <c r="O58" s="44">
        <f t="shared" si="7"/>
        <v>2426.6666666666665</v>
      </c>
      <c r="Q58" s="44" t="s">
        <v>16</v>
      </c>
    </row>
    <row r="59" spans="1:17" ht="12.75">
      <c r="A59" s="45" t="s">
        <v>549</v>
      </c>
      <c r="B59" s="44" t="s">
        <v>28</v>
      </c>
      <c r="C59" s="44" t="s">
        <v>29</v>
      </c>
      <c r="E59" s="44">
        <v>0</v>
      </c>
      <c r="F59" s="44">
        <v>1996</v>
      </c>
      <c r="G59" s="44">
        <v>1996</v>
      </c>
      <c r="H59" s="46">
        <f>VLOOKUP(G59,coefficienti!A$1:C$36,2)</f>
        <v>0.9420772303595207</v>
      </c>
      <c r="I59" s="44">
        <f t="shared" si="4"/>
        <v>1200</v>
      </c>
      <c r="J59" s="44">
        <v>1300</v>
      </c>
      <c r="K59" s="44">
        <v>15</v>
      </c>
      <c r="L59" s="44">
        <v>4</v>
      </c>
      <c r="M59" s="44">
        <f t="shared" si="5"/>
        <v>11</v>
      </c>
      <c r="N59" s="44">
        <f t="shared" si="6"/>
        <v>80</v>
      </c>
      <c r="O59" s="44">
        <f t="shared" si="7"/>
        <v>880</v>
      </c>
      <c r="Q59" s="44" t="s">
        <v>16</v>
      </c>
    </row>
    <row r="60" spans="1:17" ht="12.75">
      <c r="A60" s="45" t="s">
        <v>549</v>
      </c>
      <c r="B60" s="44" t="s">
        <v>43</v>
      </c>
      <c r="C60" s="44" t="s">
        <v>30</v>
      </c>
      <c r="E60" s="44">
        <v>0</v>
      </c>
      <c r="F60" s="44">
        <v>1985</v>
      </c>
      <c r="G60" s="44">
        <v>1985</v>
      </c>
      <c r="H60" s="46">
        <f>VLOOKUP(G60,coefficienti!A$1:C$36,2)</f>
        <v>0.5046221779936384</v>
      </c>
      <c r="I60" s="44">
        <f t="shared" si="4"/>
        <v>2500</v>
      </c>
      <c r="J60" s="44">
        <v>5100</v>
      </c>
      <c r="K60" s="44">
        <v>15</v>
      </c>
      <c r="L60" s="44">
        <v>15</v>
      </c>
      <c r="M60" s="44">
        <f t="shared" si="5"/>
        <v>0</v>
      </c>
      <c r="N60" s="44">
        <f t="shared" si="6"/>
        <v>166.66666666666666</v>
      </c>
      <c r="O60" s="44">
        <f t="shared" si="7"/>
        <v>0</v>
      </c>
      <c r="Q60" s="44" t="s">
        <v>16</v>
      </c>
    </row>
    <row r="61" spans="1:17" ht="12.75">
      <c r="A61" s="45" t="s">
        <v>549</v>
      </c>
      <c r="B61" s="44" t="s">
        <v>68</v>
      </c>
      <c r="C61" s="44" t="s">
        <v>67</v>
      </c>
      <c r="D61" s="44" t="s">
        <v>85</v>
      </c>
      <c r="E61" s="44">
        <v>0</v>
      </c>
      <c r="F61" s="44">
        <v>1990</v>
      </c>
      <c r="G61" s="44">
        <v>1990</v>
      </c>
      <c r="H61" s="46">
        <f>VLOOKUP(G61,coefficienti!A$1:C$36,2)</f>
        <v>0.6657789613848203</v>
      </c>
      <c r="I61" s="44">
        <f t="shared" si="4"/>
        <v>3800</v>
      </c>
      <c r="J61" s="44">
        <v>5800</v>
      </c>
      <c r="K61" s="44">
        <v>15</v>
      </c>
      <c r="L61" s="44">
        <v>10</v>
      </c>
      <c r="M61" s="44">
        <f t="shared" si="5"/>
        <v>5</v>
      </c>
      <c r="N61" s="44">
        <f t="shared" si="6"/>
        <v>253.33333333333334</v>
      </c>
      <c r="O61" s="44">
        <f t="shared" si="7"/>
        <v>1266.6666666666667</v>
      </c>
      <c r="Q61" s="44" t="s">
        <v>16</v>
      </c>
    </row>
    <row r="62" spans="1:17" ht="12.75">
      <c r="A62" s="45" t="s">
        <v>549</v>
      </c>
      <c r="B62" s="44" t="s">
        <v>69</v>
      </c>
      <c r="C62" s="44" t="s">
        <v>67</v>
      </c>
      <c r="D62" s="44" t="s">
        <v>86</v>
      </c>
      <c r="E62" s="44">
        <v>0</v>
      </c>
      <c r="F62" s="44">
        <v>1995</v>
      </c>
      <c r="G62" s="44">
        <v>1995</v>
      </c>
      <c r="H62" s="46">
        <f>VLOOKUP(G62,coefficienti!A$1:C$36,2)</f>
        <v>0.8794940079893475</v>
      </c>
      <c r="I62" s="44">
        <f t="shared" si="4"/>
        <v>5100</v>
      </c>
      <c r="J62" s="44">
        <v>5800</v>
      </c>
      <c r="K62" s="44">
        <v>15</v>
      </c>
      <c r="L62" s="44">
        <v>5</v>
      </c>
      <c r="M62" s="44">
        <f t="shared" si="5"/>
        <v>10</v>
      </c>
      <c r="N62" s="44">
        <f t="shared" si="6"/>
        <v>340</v>
      </c>
      <c r="O62" s="44">
        <f t="shared" si="7"/>
        <v>3400</v>
      </c>
      <c r="Q62" s="44" t="s">
        <v>16</v>
      </c>
    </row>
    <row r="63" spans="1:17" ht="12.75">
      <c r="A63" s="45" t="s">
        <v>549</v>
      </c>
      <c r="B63" s="44" t="s">
        <v>31</v>
      </c>
      <c r="C63" s="44" t="s">
        <v>32</v>
      </c>
      <c r="D63" s="44" t="s">
        <v>87</v>
      </c>
      <c r="E63" s="44">
        <v>0</v>
      </c>
      <c r="F63" s="44">
        <v>1996</v>
      </c>
      <c r="G63" s="44">
        <v>1996</v>
      </c>
      <c r="H63" s="46">
        <f>VLOOKUP(G63,coefficienti!A$1:C$36,2)</f>
        <v>0.9420772303595207</v>
      </c>
      <c r="I63" s="44">
        <f t="shared" si="4"/>
        <v>9800</v>
      </c>
      <c r="J63" s="44">
        <v>10500</v>
      </c>
      <c r="K63" s="44">
        <v>10</v>
      </c>
      <c r="L63" s="44">
        <v>4</v>
      </c>
      <c r="M63" s="44">
        <f t="shared" si="5"/>
        <v>6</v>
      </c>
      <c r="N63" s="44">
        <f t="shared" si="6"/>
        <v>980</v>
      </c>
      <c r="O63" s="44">
        <f t="shared" si="7"/>
        <v>5880</v>
      </c>
      <c r="Q63" s="44" t="s">
        <v>16</v>
      </c>
    </row>
    <row r="64" spans="1:17" ht="12.75">
      <c r="A64" s="45" t="s">
        <v>549</v>
      </c>
      <c r="B64" s="44" t="s">
        <v>88</v>
      </c>
      <c r="C64" s="44" t="s">
        <v>57</v>
      </c>
      <c r="E64" s="44">
        <v>0</v>
      </c>
      <c r="F64" s="44">
        <v>1990</v>
      </c>
      <c r="G64" s="44">
        <v>1990</v>
      </c>
      <c r="H64" s="46">
        <f>VLOOKUP(G64,coefficienti!A$1:C$36,2)</f>
        <v>0.6657789613848203</v>
      </c>
      <c r="I64" s="44">
        <f t="shared" si="4"/>
        <v>6100</v>
      </c>
      <c r="J64" s="44">
        <v>9300</v>
      </c>
      <c r="K64" s="44">
        <v>10</v>
      </c>
      <c r="L64" s="44">
        <v>10</v>
      </c>
      <c r="M64" s="44">
        <f t="shared" si="5"/>
        <v>0</v>
      </c>
      <c r="N64" s="44">
        <f t="shared" si="6"/>
        <v>610</v>
      </c>
      <c r="O64" s="44">
        <f t="shared" si="7"/>
        <v>0</v>
      </c>
      <c r="Q64" s="44" t="s">
        <v>16</v>
      </c>
    </row>
    <row r="65" spans="1:17" ht="12.75">
      <c r="A65" s="45" t="s">
        <v>549</v>
      </c>
      <c r="B65" s="44" t="s">
        <v>44</v>
      </c>
      <c r="C65" s="44" t="s">
        <v>45</v>
      </c>
      <c r="D65" s="44" t="s">
        <v>89</v>
      </c>
      <c r="E65" s="44">
        <v>0</v>
      </c>
      <c r="F65" s="44">
        <v>1995</v>
      </c>
      <c r="G65" s="44">
        <v>1995</v>
      </c>
      <c r="H65" s="46">
        <f>VLOOKUP(G65,coefficienti!A$1:C$36,2)</f>
        <v>0.8794940079893475</v>
      </c>
      <c r="I65" s="44">
        <f t="shared" si="4"/>
        <v>2100</v>
      </c>
      <c r="J65" s="44">
        <v>2500</v>
      </c>
      <c r="K65" s="44">
        <v>10</v>
      </c>
      <c r="L65" s="44">
        <v>5</v>
      </c>
      <c r="M65" s="44">
        <f t="shared" si="5"/>
        <v>5</v>
      </c>
      <c r="N65" s="44">
        <f t="shared" si="6"/>
        <v>210</v>
      </c>
      <c r="O65" s="44">
        <f t="shared" si="7"/>
        <v>1050</v>
      </c>
      <c r="Q65" s="44" t="s">
        <v>16</v>
      </c>
    </row>
    <row r="66" spans="1:17" ht="12.75">
      <c r="A66" s="45" t="s">
        <v>549</v>
      </c>
      <c r="B66" s="44" t="s">
        <v>90</v>
      </c>
      <c r="C66" s="44" t="s">
        <v>46</v>
      </c>
      <c r="D66" s="44" t="s">
        <v>91</v>
      </c>
      <c r="E66" s="44">
        <v>0</v>
      </c>
      <c r="F66" s="44">
        <v>1994</v>
      </c>
      <c r="G66" s="44">
        <v>1994</v>
      </c>
      <c r="H66" s="46">
        <f>VLOOKUP(G66,coefficienti!A$1:C$36,2)</f>
        <v>0.8169107856191745</v>
      </c>
      <c r="I66" s="44">
        <f t="shared" si="4"/>
        <v>6600</v>
      </c>
      <c r="J66" s="44">
        <v>8200</v>
      </c>
      <c r="K66" s="44">
        <v>10</v>
      </c>
      <c r="L66" s="44">
        <v>6</v>
      </c>
      <c r="M66" s="44">
        <f t="shared" si="5"/>
        <v>4</v>
      </c>
      <c r="N66" s="44">
        <f t="shared" si="6"/>
        <v>660</v>
      </c>
      <c r="O66" s="44">
        <f t="shared" si="7"/>
        <v>2640</v>
      </c>
      <c r="Q66" s="44" t="s">
        <v>16</v>
      </c>
    </row>
    <row r="67" spans="1:17" ht="12.75">
      <c r="A67" s="45" t="s">
        <v>549</v>
      </c>
      <c r="B67" s="44" t="s">
        <v>92</v>
      </c>
      <c r="C67" s="44" t="s">
        <v>46</v>
      </c>
      <c r="D67" s="44" t="s">
        <v>93</v>
      </c>
      <c r="E67" s="44">
        <v>0</v>
      </c>
      <c r="F67" s="44">
        <v>1994</v>
      </c>
      <c r="G67" s="44">
        <v>1994</v>
      </c>
      <c r="H67" s="46">
        <f>VLOOKUP(G67,coefficienti!A$1:C$36,2)</f>
        <v>0.8169107856191745</v>
      </c>
      <c r="I67" s="44">
        <f t="shared" si="4"/>
        <v>6600</v>
      </c>
      <c r="J67" s="44">
        <v>8200</v>
      </c>
      <c r="K67" s="44">
        <v>10</v>
      </c>
      <c r="L67" s="44">
        <v>6</v>
      </c>
      <c r="M67" s="44">
        <f t="shared" si="5"/>
        <v>4</v>
      </c>
      <c r="N67" s="44">
        <f t="shared" si="6"/>
        <v>660</v>
      </c>
      <c r="O67" s="44">
        <f t="shared" si="7"/>
        <v>2640</v>
      </c>
      <c r="Q67" s="44" t="s">
        <v>16</v>
      </c>
    </row>
    <row r="68" spans="1:17" ht="12.75">
      <c r="A68" s="45" t="s">
        <v>549</v>
      </c>
      <c r="B68" s="44" t="s">
        <v>94</v>
      </c>
      <c r="C68" s="44" t="s">
        <v>46</v>
      </c>
      <c r="E68" s="44">
        <v>0</v>
      </c>
      <c r="F68" s="44">
        <v>1999</v>
      </c>
      <c r="G68" s="44">
        <v>1993</v>
      </c>
      <c r="H68" s="46">
        <f>VLOOKUP(G68,coefficienti!A$1:C$36,2)</f>
        <v>0.7876165113182424</v>
      </c>
      <c r="I68" s="44">
        <f t="shared" si="4"/>
        <v>6400</v>
      </c>
      <c r="J68" s="44">
        <v>8200</v>
      </c>
      <c r="K68" s="44">
        <v>10</v>
      </c>
      <c r="L68" s="44">
        <v>7</v>
      </c>
      <c r="M68" s="44">
        <f t="shared" si="5"/>
        <v>3</v>
      </c>
      <c r="N68" s="44">
        <f t="shared" si="6"/>
        <v>640</v>
      </c>
      <c r="O68" s="44">
        <f t="shared" si="7"/>
        <v>1920</v>
      </c>
      <c r="Q68" s="44" t="s">
        <v>16</v>
      </c>
    </row>
    <row r="69" spans="1:17" ht="12.75">
      <c r="A69" s="45" t="s">
        <v>549</v>
      </c>
      <c r="B69" s="44" t="s">
        <v>33</v>
      </c>
      <c r="C69" s="44" t="s">
        <v>34</v>
      </c>
      <c r="D69" s="44" t="s">
        <v>95</v>
      </c>
      <c r="E69" s="44">
        <v>0</v>
      </c>
      <c r="F69" s="44">
        <v>1992</v>
      </c>
      <c r="G69" s="44">
        <v>1992</v>
      </c>
      <c r="H69" s="46">
        <f>VLOOKUP(G69,coefficienti!A$1:C$36,2)</f>
        <v>0.741011984021305</v>
      </c>
      <c r="I69" s="44">
        <f t="shared" si="4"/>
        <v>4200</v>
      </c>
      <c r="J69" s="44">
        <v>5800</v>
      </c>
      <c r="K69" s="44">
        <v>10</v>
      </c>
      <c r="L69" s="44">
        <v>8</v>
      </c>
      <c r="M69" s="44">
        <f t="shared" si="5"/>
        <v>2</v>
      </c>
      <c r="N69" s="44">
        <f t="shared" si="6"/>
        <v>420</v>
      </c>
      <c r="O69" s="44">
        <f t="shared" si="7"/>
        <v>840</v>
      </c>
      <c r="Q69" s="44" t="s">
        <v>16</v>
      </c>
    </row>
    <row r="70" spans="1:17" ht="12.75">
      <c r="A70" s="45" t="s">
        <v>549</v>
      </c>
      <c r="B70" s="44" t="s">
        <v>96</v>
      </c>
      <c r="C70" s="44" t="s">
        <v>97</v>
      </c>
      <c r="E70" s="44">
        <v>0</v>
      </c>
      <c r="F70" s="44">
        <v>1997</v>
      </c>
      <c r="G70" s="44">
        <v>1997</v>
      </c>
      <c r="H70" s="46">
        <f>VLOOKUP(G70,coefficienti!A$1:C$36,2)</f>
        <v>0.9733688415446072</v>
      </c>
      <c r="I70" s="44">
        <f t="shared" si="4"/>
        <v>12600</v>
      </c>
      <c r="J70" s="44">
        <v>13000</v>
      </c>
      <c r="K70" s="44">
        <v>10</v>
      </c>
      <c r="L70" s="44">
        <v>3</v>
      </c>
      <c r="M70" s="44">
        <f t="shared" si="5"/>
        <v>7</v>
      </c>
      <c r="N70" s="44">
        <f t="shared" si="6"/>
        <v>1260</v>
      </c>
      <c r="O70" s="44">
        <f t="shared" si="7"/>
        <v>8820</v>
      </c>
      <c r="Q70" s="44" t="s">
        <v>16</v>
      </c>
    </row>
    <row r="71" spans="1:17" ht="12.75">
      <c r="A71" s="45" t="s">
        <v>549</v>
      </c>
      <c r="B71" s="44" t="s">
        <v>50</v>
      </c>
      <c r="C71" s="44" t="s">
        <v>51</v>
      </c>
      <c r="D71" s="44" t="s">
        <v>98</v>
      </c>
      <c r="E71" s="44">
        <v>0</v>
      </c>
      <c r="F71" s="44">
        <v>1998</v>
      </c>
      <c r="G71" s="44">
        <v>1998</v>
      </c>
      <c r="H71" s="46">
        <f>VLOOKUP(G71,coefficienti!A$1:C$36,2)</f>
        <v>0.9880159786950733</v>
      </c>
      <c r="I71" s="44">
        <f t="shared" si="4"/>
        <v>16800</v>
      </c>
      <c r="J71" s="44">
        <v>17100</v>
      </c>
      <c r="K71" s="44">
        <v>10</v>
      </c>
      <c r="L71" s="44">
        <v>2</v>
      </c>
      <c r="M71" s="44">
        <f t="shared" si="5"/>
        <v>8</v>
      </c>
      <c r="N71" s="44">
        <f t="shared" si="6"/>
        <v>1680</v>
      </c>
      <c r="O71" s="44">
        <f t="shared" si="7"/>
        <v>13440</v>
      </c>
      <c r="Q71" s="44" t="s">
        <v>16</v>
      </c>
    </row>
    <row r="72" spans="1:17" ht="12.75">
      <c r="A72" s="45" t="s">
        <v>549</v>
      </c>
      <c r="B72" s="44" t="s">
        <v>47</v>
      </c>
      <c r="C72" s="44" t="s">
        <v>48</v>
      </c>
      <c r="E72" s="44">
        <v>0</v>
      </c>
      <c r="F72" s="44">
        <v>1995</v>
      </c>
      <c r="G72" s="44">
        <v>1995</v>
      </c>
      <c r="H72" s="46">
        <f>VLOOKUP(G72,coefficienti!A$1:C$36,2)</f>
        <v>0.8794940079893475</v>
      </c>
      <c r="I72" s="44">
        <f t="shared" si="4"/>
        <v>4100</v>
      </c>
      <c r="J72" s="44">
        <v>4700</v>
      </c>
      <c r="K72" s="44">
        <v>15</v>
      </c>
      <c r="L72" s="44">
        <v>5</v>
      </c>
      <c r="M72" s="44">
        <f t="shared" si="5"/>
        <v>10</v>
      </c>
      <c r="N72" s="44">
        <f t="shared" si="6"/>
        <v>273.3333333333333</v>
      </c>
      <c r="O72" s="44">
        <f t="shared" si="7"/>
        <v>2733.333333333333</v>
      </c>
      <c r="Q72" s="44" t="s">
        <v>16</v>
      </c>
    </row>
    <row r="73" spans="1:17" ht="12.75">
      <c r="A73" s="45" t="s">
        <v>549</v>
      </c>
      <c r="B73" s="44" t="s">
        <v>35</v>
      </c>
      <c r="C73" s="44" t="s">
        <v>36</v>
      </c>
      <c r="D73" s="44" t="s">
        <v>70</v>
      </c>
      <c r="E73" s="44">
        <v>0</v>
      </c>
      <c r="F73" s="44">
        <v>1992</v>
      </c>
      <c r="G73" s="44">
        <v>1992</v>
      </c>
      <c r="H73" s="46">
        <f>VLOOKUP(G73,coefficienti!A$1:C$36,2)</f>
        <v>0.741011984021305</v>
      </c>
      <c r="I73" s="44">
        <f t="shared" si="4"/>
        <v>2400</v>
      </c>
      <c r="J73" s="44">
        <v>3300</v>
      </c>
      <c r="K73" s="44">
        <v>15</v>
      </c>
      <c r="L73" s="44">
        <v>8</v>
      </c>
      <c r="M73" s="44">
        <f t="shared" si="5"/>
        <v>7</v>
      </c>
      <c r="N73" s="44">
        <f t="shared" si="6"/>
        <v>160</v>
      </c>
      <c r="O73" s="44">
        <f t="shared" si="7"/>
        <v>1120</v>
      </c>
      <c r="Q73" s="44" t="s">
        <v>16</v>
      </c>
    </row>
    <row r="74" spans="1:17" ht="12.75">
      <c r="A74" s="45" t="s">
        <v>549</v>
      </c>
      <c r="B74" s="44" t="s">
        <v>71</v>
      </c>
      <c r="C74" s="44" t="s">
        <v>72</v>
      </c>
      <c r="E74" s="44">
        <v>0</v>
      </c>
      <c r="F74" s="44">
        <v>1995</v>
      </c>
      <c r="G74" s="44">
        <v>1995</v>
      </c>
      <c r="H74" s="46">
        <f>VLOOKUP(G74,coefficienti!A$1:C$36,2)</f>
        <v>0.8794940079893475</v>
      </c>
      <c r="I74" s="44">
        <f t="shared" si="4"/>
        <v>28500</v>
      </c>
      <c r="J74" s="44">
        <v>32500</v>
      </c>
      <c r="K74" s="44">
        <v>10</v>
      </c>
      <c r="L74" s="44">
        <v>5</v>
      </c>
      <c r="M74" s="44">
        <f t="shared" si="5"/>
        <v>5</v>
      </c>
      <c r="N74" s="44">
        <f t="shared" si="6"/>
        <v>2850</v>
      </c>
      <c r="O74" s="44">
        <f t="shared" si="7"/>
        <v>14250</v>
      </c>
      <c r="Q74" s="44" t="s">
        <v>16</v>
      </c>
    </row>
    <row r="75" spans="1:17" ht="12.75">
      <c r="A75" s="45" t="s">
        <v>549</v>
      </c>
      <c r="B75" s="44" t="s">
        <v>58</v>
      </c>
      <c r="C75" s="44" t="s">
        <v>49</v>
      </c>
      <c r="E75" s="44">
        <v>0</v>
      </c>
      <c r="F75" s="44">
        <v>1997</v>
      </c>
      <c r="G75" s="44">
        <v>1997</v>
      </c>
      <c r="H75" s="46">
        <f>VLOOKUP(G75,coefficienti!A$1:C$36,2)</f>
        <v>0.9733688415446072</v>
      </c>
      <c r="I75" s="44">
        <f t="shared" si="4"/>
        <v>5200</v>
      </c>
      <c r="J75" s="44">
        <v>5400</v>
      </c>
      <c r="K75" s="44">
        <v>15</v>
      </c>
      <c r="L75" s="44">
        <v>3</v>
      </c>
      <c r="M75" s="44">
        <f t="shared" si="5"/>
        <v>12</v>
      </c>
      <c r="N75" s="44">
        <f t="shared" si="6"/>
        <v>346.6666666666667</v>
      </c>
      <c r="O75" s="44">
        <f t="shared" si="7"/>
        <v>4160</v>
      </c>
      <c r="Q75" s="44" t="s">
        <v>16</v>
      </c>
    </row>
    <row r="76" spans="1:17" ht="12.75">
      <c r="A76" s="45" t="s">
        <v>549</v>
      </c>
      <c r="B76" s="44" t="s">
        <v>59</v>
      </c>
      <c r="C76" s="44" t="s">
        <v>60</v>
      </c>
      <c r="E76" s="44">
        <v>0</v>
      </c>
      <c r="F76" s="44">
        <v>1991</v>
      </c>
      <c r="G76" s="44">
        <v>1991</v>
      </c>
      <c r="H76" s="46">
        <f>VLOOKUP(G76,coefficienti!A$1:C$36,2)</f>
        <v>0.6929741685820822</v>
      </c>
      <c r="I76" s="44">
        <f t="shared" si="4"/>
        <v>11700</v>
      </c>
      <c r="J76" s="44">
        <v>17000</v>
      </c>
      <c r="K76" s="44">
        <v>15</v>
      </c>
      <c r="L76" s="44">
        <v>9</v>
      </c>
      <c r="M76" s="44">
        <f t="shared" si="5"/>
        <v>6</v>
      </c>
      <c r="N76" s="44">
        <f t="shared" si="6"/>
        <v>780</v>
      </c>
      <c r="O76" s="44">
        <f t="shared" si="7"/>
        <v>4680</v>
      </c>
      <c r="Q76" s="44" t="s">
        <v>16</v>
      </c>
    </row>
    <row r="77" spans="1:17" ht="12.75">
      <c r="A77" s="45" t="s">
        <v>549</v>
      </c>
      <c r="B77" s="44" t="s">
        <v>61</v>
      </c>
      <c r="C77" s="44" t="s">
        <v>62</v>
      </c>
      <c r="D77" s="44" t="s">
        <v>99</v>
      </c>
      <c r="E77" s="44">
        <v>0</v>
      </c>
      <c r="F77" s="44">
        <v>1983</v>
      </c>
      <c r="G77" s="44">
        <v>1983</v>
      </c>
      <c r="H77" s="46">
        <f>VLOOKUP(G77,coefficienti!A$1:C$36,2)</f>
        <v>0.3756967512806928</v>
      </c>
      <c r="I77" s="44">
        <f t="shared" si="4"/>
        <v>3200</v>
      </c>
      <c r="J77" s="44">
        <v>8700</v>
      </c>
      <c r="K77" s="44">
        <v>15</v>
      </c>
      <c r="L77" s="44">
        <v>17</v>
      </c>
      <c r="M77" s="44">
        <f t="shared" si="5"/>
        <v>0</v>
      </c>
      <c r="N77" s="44">
        <f t="shared" si="6"/>
        <v>0</v>
      </c>
      <c r="O77" s="44">
        <f t="shared" si="7"/>
        <v>0</v>
      </c>
      <c r="Q77" s="44" t="s">
        <v>16</v>
      </c>
    </row>
    <row r="78" spans="1:17" ht="12.75">
      <c r="A78" s="45" t="s">
        <v>549</v>
      </c>
      <c r="B78" s="44" t="s">
        <v>63</v>
      </c>
      <c r="C78" s="44" t="s">
        <v>64</v>
      </c>
      <c r="D78" s="44" t="s">
        <v>100</v>
      </c>
      <c r="E78" s="44">
        <v>0</v>
      </c>
      <c r="F78" s="44">
        <v>1991</v>
      </c>
      <c r="G78" s="44">
        <v>1991</v>
      </c>
      <c r="H78" s="46">
        <f>VLOOKUP(G78,coefficienti!A$1:C$36,2)</f>
        <v>0.6929741685820822</v>
      </c>
      <c r="I78" s="44">
        <f t="shared" si="4"/>
        <v>9000</v>
      </c>
      <c r="J78" s="44">
        <v>13000</v>
      </c>
      <c r="K78" s="44">
        <v>15</v>
      </c>
      <c r="L78" s="44">
        <v>9</v>
      </c>
      <c r="M78" s="44">
        <f t="shared" si="5"/>
        <v>6</v>
      </c>
      <c r="N78" s="44">
        <f t="shared" si="6"/>
        <v>600</v>
      </c>
      <c r="O78" s="44">
        <f t="shared" si="7"/>
        <v>3600</v>
      </c>
      <c r="Q78" s="44" t="s">
        <v>16</v>
      </c>
    </row>
    <row r="79" spans="1:17" ht="12.75">
      <c r="A79" s="45" t="s">
        <v>549</v>
      </c>
      <c r="B79" s="44" t="s">
        <v>101</v>
      </c>
      <c r="C79" s="44" t="s">
        <v>73</v>
      </c>
      <c r="D79" s="44" t="s">
        <v>102</v>
      </c>
      <c r="E79" s="44">
        <v>0</v>
      </c>
      <c r="F79" s="44">
        <v>1983</v>
      </c>
      <c r="G79" s="44">
        <v>1983</v>
      </c>
      <c r="H79" s="46">
        <f>VLOOKUP(G79,coefficienti!A$1:C$36,2)</f>
        <v>0.3756967512806928</v>
      </c>
      <c r="I79" s="44">
        <f t="shared" si="4"/>
        <v>1700</v>
      </c>
      <c r="J79" s="44">
        <v>4700</v>
      </c>
      <c r="K79" s="44">
        <v>15</v>
      </c>
      <c r="L79" s="44">
        <v>17</v>
      </c>
      <c r="M79" s="44">
        <f t="shared" si="5"/>
        <v>0</v>
      </c>
      <c r="N79" s="44">
        <f t="shared" si="6"/>
        <v>0</v>
      </c>
      <c r="O79" s="44">
        <f t="shared" si="7"/>
        <v>0</v>
      </c>
      <c r="Q79" s="44" t="s">
        <v>16</v>
      </c>
    </row>
    <row r="80" spans="1:17" ht="12.75">
      <c r="A80" s="45" t="s">
        <v>549</v>
      </c>
      <c r="B80" s="44" t="s">
        <v>103</v>
      </c>
      <c r="C80" s="44" t="s">
        <v>73</v>
      </c>
      <c r="D80" s="44" t="s">
        <v>102</v>
      </c>
      <c r="E80" s="44">
        <v>0</v>
      </c>
      <c r="F80" s="44">
        <v>1988</v>
      </c>
      <c r="G80" s="44">
        <v>1988</v>
      </c>
      <c r="H80" s="46">
        <f>VLOOKUP(G80,coefficienti!A$1:C$36,2)</f>
        <v>0.5925029864366423</v>
      </c>
      <c r="I80" s="44">
        <f t="shared" si="4"/>
        <v>2700</v>
      </c>
      <c r="J80" s="44">
        <v>4700</v>
      </c>
      <c r="K80" s="44">
        <v>15</v>
      </c>
      <c r="L80" s="44">
        <v>12</v>
      </c>
      <c r="M80" s="44">
        <f t="shared" si="5"/>
        <v>3</v>
      </c>
      <c r="N80" s="44">
        <f t="shared" si="6"/>
        <v>180</v>
      </c>
      <c r="O80" s="44">
        <f t="shared" si="7"/>
        <v>540</v>
      </c>
      <c r="Q80" s="44" t="s">
        <v>16</v>
      </c>
    </row>
    <row r="81" spans="1:17" ht="12.75">
      <c r="A81" s="45" t="s">
        <v>549</v>
      </c>
      <c r="B81" s="44" t="s">
        <v>104</v>
      </c>
      <c r="C81" s="44" t="s">
        <v>73</v>
      </c>
      <c r="D81" s="44" t="s">
        <v>105</v>
      </c>
      <c r="E81" s="44">
        <v>0</v>
      </c>
      <c r="F81" s="44">
        <v>1995</v>
      </c>
      <c r="G81" s="44">
        <v>1995</v>
      </c>
      <c r="H81" s="46">
        <f>VLOOKUP(G81,coefficienti!A$1:C$36,2)</f>
        <v>0.8794940079893475</v>
      </c>
      <c r="I81" s="44">
        <f t="shared" si="4"/>
        <v>4100</v>
      </c>
      <c r="J81" s="44">
        <v>4700</v>
      </c>
      <c r="K81" s="44">
        <v>15</v>
      </c>
      <c r="L81" s="44">
        <v>5</v>
      </c>
      <c r="M81" s="44">
        <f t="shared" si="5"/>
        <v>10</v>
      </c>
      <c r="N81" s="44">
        <f t="shared" si="6"/>
        <v>273.3333333333333</v>
      </c>
      <c r="O81" s="44">
        <f t="shared" si="7"/>
        <v>2733.333333333333</v>
      </c>
      <c r="Q81" s="44" t="s">
        <v>16</v>
      </c>
    </row>
    <row r="82" spans="1:17" ht="12.75">
      <c r="A82" s="45" t="s">
        <v>549</v>
      </c>
      <c r="B82" s="44" t="s">
        <v>65</v>
      </c>
      <c r="C82" s="44" t="s">
        <v>66</v>
      </c>
      <c r="D82" s="44" t="s">
        <v>106</v>
      </c>
      <c r="E82" s="44">
        <v>0</v>
      </c>
      <c r="F82" s="44">
        <v>1983</v>
      </c>
      <c r="G82" s="44">
        <v>1983</v>
      </c>
      <c r="H82" s="46">
        <f>VLOOKUP(G82,coefficienti!A$1:C$36,2)</f>
        <v>0.3756967512806928</v>
      </c>
      <c r="I82" s="44">
        <f t="shared" si="4"/>
        <v>9500</v>
      </c>
      <c r="J82" s="44">
        <v>25300</v>
      </c>
      <c r="K82" s="44">
        <v>15</v>
      </c>
      <c r="L82" s="44">
        <v>17</v>
      </c>
      <c r="M82" s="44">
        <f t="shared" si="5"/>
        <v>0</v>
      </c>
      <c r="N82" s="44">
        <f t="shared" si="6"/>
        <v>0</v>
      </c>
      <c r="O82" s="44">
        <f t="shared" si="7"/>
        <v>0</v>
      </c>
      <c r="Q82" s="44" t="s">
        <v>16</v>
      </c>
    </row>
    <row r="83" spans="1:17" ht="12.75">
      <c r="A83" s="45" t="s">
        <v>549</v>
      </c>
      <c r="B83" s="44" t="s">
        <v>74</v>
      </c>
      <c r="C83" s="44" t="s">
        <v>66</v>
      </c>
      <c r="D83" s="44" t="s">
        <v>107</v>
      </c>
      <c r="E83" s="44">
        <v>0</v>
      </c>
      <c r="F83" s="44">
        <v>1992</v>
      </c>
      <c r="G83" s="44">
        <v>1992</v>
      </c>
      <c r="H83" s="46">
        <f>VLOOKUP(G83,coefficienti!A$1:C$36,2)</f>
        <v>0.741011984021305</v>
      </c>
      <c r="I83" s="44">
        <f t="shared" si="4"/>
        <v>1700</v>
      </c>
      <c r="J83" s="44">
        <v>2300</v>
      </c>
      <c r="K83" s="44">
        <v>15</v>
      </c>
      <c r="L83" s="44">
        <v>8</v>
      </c>
      <c r="M83" s="44">
        <f t="shared" si="5"/>
        <v>7</v>
      </c>
      <c r="N83" s="44">
        <f t="shared" si="6"/>
        <v>113.33333333333333</v>
      </c>
      <c r="O83" s="44">
        <f t="shared" si="7"/>
        <v>793.3333333333333</v>
      </c>
      <c r="Q83" s="44" t="s">
        <v>16</v>
      </c>
    </row>
    <row r="84" spans="1:17" ht="12.75">
      <c r="A84" s="45" t="s">
        <v>549</v>
      </c>
      <c r="B84" s="44" t="s">
        <v>75</v>
      </c>
      <c r="C84" s="44" t="s">
        <v>66</v>
      </c>
      <c r="D84" s="44" t="s">
        <v>108</v>
      </c>
      <c r="E84" s="44">
        <v>0</v>
      </c>
      <c r="F84" s="44">
        <v>1994</v>
      </c>
      <c r="G84" s="44">
        <v>1994</v>
      </c>
      <c r="H84" s="46">
        <f>VLOOKUP(G84,coefficienti!A$1:C$36,2)</f>
        <v>0.8169107856191745</v>
      </c>
      <c r="I84" s="44">
        <f t="shared" si="4"/>
        <v>1100</v>
      </c>
      <c r="J84" s="44">
        <v>1400</v>
      </c>
      <c r="K84" s="44">
        <v>15</v>
      </c>
      <c r="L84" s="44">
        <v>6</v>
      </c>
      <c r="M84" s="44">
        <f t="shared" si="5"/>
        <v>9</v>
      </c>
      <c r="N84" s="44">
        <f t="shared" si="6"/>
        <v>73.33333333333333</v>
      </c>
      <c r="O84" s="44">
        <f t="shared" si="7"/>
        <v>660</v>
      </c>
      <c r="Q84" s="44" t="s">
        <v>16</v>
      </c>
    </row>
    <row r="85" spans="1:17" ht="12.75">
      <c r="A85" s="45" t="s">
        <v>549</v>
      </c>
      <c r="B85" s="44" t="s">
        <v>109</v>
      </c>
      <c r="C85" s="44" t="s">
        <v>110</v>
      </c>
      <c r="D85" s="44" t="s">
        <v>111</v>
      </c>
      <c r="E85" s="44">
        <v>0</v>
      </c>
      <c r="F85" s="44">
        <v>1996</v>
      </c>
      <c r="G85" s="44">
        <v>1996</v>
      </c>
      <c r="H85" s="46">
        <f>VLOOKUP(G85,coefficienti!A$1:C$36,2)</f>
        <v>0.9420772303595207</v>
      </c>
      <c r="I85" s="44">
        <f t="shared" si="4"/>
        <v>4000</v>
      </c>
      <c r="J85" s="44">
        <v>4300</v>
      </c>
      <c r="K85" s="44">
        <v>15</v>
      </c>
      <c r="L85" s="44">
        <v>4</v>
      </c>
      <c r="M85" s="44">
        <f t="shared" si="5"/>
        <v>11</v>
      </c>
      <c r="N85" s="44">
        <f t="shared" si="6"/>
        <v>266.6666666666667</v>
      </c>
      <c r="O85" s="44">
        <f t="shared" si="7"/>
        <v>2933.3333333333335</v>
      </c>
      <c r="Q85" s="44" t="s">
        <v>16</v>
      </c>
    </row>
    <row r="86" spans="1:17" ht="12.75">
      <c r="A86" s="45" t="s">
        <v>549</v>
      </c>
      <c r="B86" s="44" t="s">
        <v>112</v>
      </c>
      <c r="C86" s="44" t="s">
        <v>110</v>
      </c>
      <c r="D86" s="44" t="s">
        <v>113</v>
      </c>
      <c r="E86" s="44">
        <v>0</v>
      </c>
      <c r="F86" s="44">
        <v>1983</v>
      </c>
      <c r="G86" s="44">
        <v>1983</v>
      </c>
      <c r="H86" s="46">
        <f>VLOOKUP(G86,coefficienti!A$1:C$36,2)</f>
        <v>0.3756967512806928</v>
      </c>
      <c r="I86" s="44">
        <f t="shared" si="4"/>
        <v>1600</v>
      </c>
      <c r="J86" s="44">
        <v>4300</v>
      </c>
      <c r="K86" s="44">
        <v>15</v>
      </c>
      <c r="L86" s="44">
        <v>17</v>
      </c>
      <c r="M86" s="44">
        <f t="shared" si="5"/>
        <v>0</v>
      </c>
      <c r="N86" s="44">
        <f t="shared" si="6"/>
        <v>0</v>
      </c>
      <c r="O86" s="44">
        <f t="shared" si="7"/>
        <v>0</v>
      </c>
      <c r="Q86" s="44" t="s">
        <v>16</v>
      </c>
    </row>
    <row r="87" spans="1:17" ht="12.75">
      <c r="A87" s="45" t="s">
        <v>549</v>
      </c>
      <c r="B87" s="44" t="s">
        <v>114</v>
      </c>
      <c r="C87" s="44" t="s">
        <v>115</v>
      </c>
      <c r="D87" s="44" t="s">
        <v>116</v>
      </c>
      <c r="E87" s="44">
        <v>0</v>
      </c>
      <c r="F87" s="44">
        <v>1983</v>
      </c>
      <c r="G87" s="44">
        <v>1983</v>
      </c>
      <c r="H87" s="46">
        <f>VLOOKUP(G87,coefficienti!A$1:C$36,2)</f>
        <v>0.3756967512806928</v>
      </c>
      <c r="I87" s="44">
        <f t="shared" si="4"/>
        <v>1300</v>
      </c>
      <c r="J87" s="44">
        <v>3600</v>
      </c>
      <c r="K87" s="44">
        <v>15</v>
      </c>
      <c r="L87" s="44">
        <v>17</v>
      </c>
      <c r="M87" s="44">
        <f t="shared" si="5"/>
        <v>0</v>
      </c>
      <c r="N87" s="44">
        <f t="shared" si="6"/>
        <v>0</v>
      </c>
      <c r="O87" s="44">
        <f t="shared" si="7"/>
        <v>0</v>
      </c>
      <c r="Q87" s="44" t="s">
        <v>16</v>
      </c>
    </row>
    <row r="88" spans="1:17" ht="12.75">
      <c r="A88" s="45" t="s">
        <v>549</v>
      </c>
      <c r="B88" s="44" t="s">
        <v>52</v>
      </c>
      <c r="C88" s="44" t="s">
        <v>53</v>
      </c>
      <c r="D88" s="44" t="s">
        <v>117</v>
      </c>
      <c r="E88" s="44">
        <v>0</v>
      </c>
      <c r="F88" s="44">
        <v>1975</v>
      </c>
      <c r="G88" s="44">
        <v>1975</v>
      </c>
      <c r="H88" s="46">
        <f>VLOOKUP(G88,coefficienti!A$1:C$36,2)</f>
        <v>0.11709047543265562</v>
      </c>
      <c r="I88" s="44">
        <f>INT(J88*H88/10)*10</f>
        <v>80</v>
      </c>
      <c r="J88" s="44">
        <v>700</v>
      </c>
      <c r="K88" s="44">
        <v>15</v>
      </c>
      <c r="L88" s="44">
        <v>25</v>
      </c>
      <c r="M88" s="44">
        <f t="shared" si="5"/>
        <v>0</v>
      </c>
      <c r="N88" s="44">
        <f t="shared" si="6"/>
        <v>0</v>
      </c>
      <c r="O88" s="44">
        <f t="shared" si="7"/>
        <v>0</v>
      </c>
      <c r="Q88" s="44" t="s">
        <v>16</v>
      </c>
    </row>
    <row r="89" spans="1:17" ht="12.75">
      <c r="A89" s="45" t="s">
        <v>549</v>
      </c>
      <c r="B89" s="44" t="s">
        <v>54</v>
      </c>
      <c r="C89" s="44" t="s">
        <v>53</v>
      </c>
      <c r="D89" s="44" t="s">
        <v>118</v>
      </c>
      <c r="E89" s="44">
        <v>0</v>
      </c>
      <c r="F89" s="44">
        <v>1989</v>
      </c>
      <c r="G89" s="44">
        <v>1989</v>
      </c>
      <c r="H89" s="46">
        <f>VLOOKUP(G89,coefficienti!A$1:C$36,2)</f>
        <v>0.6322885673363403</v>
      </c>
      <c r="I89" s="44">
        <f>INT(J89*H89/100)*100</f>
        <v>600</v>
      </c>
      <c r="J89" s="44">
        <v>1100</v>
      </c>
      <c r="K89" s="44">
        <v>15</v>
      </c>
      <c r="L89" s="44">
        <v>11</v>
      </c>
      <c r="M89" s="44">
        <f t="shared" si="5"/>
        <v>4</v>
      </c>
      <c r="N89" s="44">
        <f t="shared" si="6"/>
        <v>40</v>
      </c>
      <c r="O89" s="44">
        <f t="shared" si="7"/>
        <v>160</v>
      </c>
      <c r="Q89" s="44" t="s">
        <v>16</v>
      </c>
    </row>
    <row r="90" spans="1:17" ht="12.75">
      <c r="A90" s="45" t="s">
        <v>549</v>
      </c>
      <c r="B90" s="44" t="s">
        <v>37</v>
      </c>
      <c r="C90" s="44" t="s">
        <v>38</v>
      </c>
      <c r="E90" s="44">
        <v>0</v>
      </c>
      <c r="F90" s="44">
        <v>0</v>
      </c>
      <c r="G90" s="44">
        <v>0</v>
      </c>
      <c r="H90" s="46">
        <v>0.6</v>
      </c>
      <c r="I90" s="44">
        <f>INT(J90*H90/100)*100</f>
        <v>4300</v>
      </c>
      <c r="J90" s="44">
        <v>7200</v>
      </c>
      <c r="K90" s="44">
        <v>10</v>
      </c>
      <c r="L90" s="44">
        <v>4</v>
      </c>
      <c r="M90" s="44">
        <f t="shared" si="5"/>
        <v>6</v>
      </c>
      <c r="N90" s="44">
        <f t="shared" si="6"/>
        <v>430</v>
      </c>
      <c r="O90" s="44">
        <f t="shared" si="7"/>
        <v>2580</v>
      </c>
      <c r="Q90" s="44" t="s">
        <v>16</v>
      </c>
    </row>
    <row r="91" spans="1:17" ht="12.75">
      <c r="A91" s="45" t="s">
        <v>549</v>
      </c>
      <c r="B91" s="44" t="s">
        <v>119</v>
      </c>
      <c r="C91" s="44" t="s">
        <v>120</v>
      </c>
      <c r="D91" s="44" t="s">
        <v>121</v>
      </c>
      <c r="E91" s="44">
        <v>0</v>
      </c>
      <c r="F91" s="44">
        <v>1983</v>
      </c>
      <c r="G91" s="44">
        <v>1983</v>
      </c>
      <c r="H91" s="46">
        <f>VLOOKUP(G91,coefficienti!A$1:C$36,2)</f>
        <v>0.3756967512806928</v>
      </c>
      <c r="I91" s="44">
        <f>INT(J91*H91/100)*100</f>
        <v>3200</v>
      </c>
      <c r="J91" s="44">
        <v>8700</v>
      </c>
      <c r="K91" s="44">
        <v>30</v>
      </c>
      <c r="L91" s="44">
        <v>17</v>
      </c>
      <c r="M91" s="44">
        <f t="shared" si="5"/>
        <v>13</v>
      </c>
      <c r="N91" s="44">
        <f t="shared" si="6"/>
        <v>106.66666666666667</v>
      </c>
      <c r="O91" s="44">
        <f t="shared" si="7"/>
        <v>1386.6666666666667</v>
      </c>
      <c r="Q91" s="44" t="s">
        <v>16</v>
      </c>
    </row>
    <row r="92" spans="1:17" ht="12.75">
      <c r="A92" s="45" t="s">
        <v>549</v>
      </c>
      <c r="B92" s="44" t="s">
        <v>122</v>
      </c>
      <c r="C92" s="44" t="s">
        <v>120</v>
      </c>
      <c r="D92" s="44" t="s">
        <v>121</v>
      </c>
      <c r="E92" s="44">
        <v>0</v>
      </c>
      <c r="F92" s="44">
        <v>1988</v>
      </c>
      <c r="G92" s="44">
        <v>1988</v>
      </c>
      <c r="H92" s="46">
        <f>VLOOKUP(G92,coefficienti!A$1:C$36,2)</f>
        <v>0.5925029864366423</v>
      </c>
      <c r="I92" s="44">
        <f>INT(J92*H92/100)*100</f>
        <v>5100</v>
      </c>
      <c r="J92" s="44">
        <v>8700</v>
      </c>
      <c r="K92" s="44">
        <v>30</v>
      </c>
      <c r="L92" s="44">
        <v>12</v>
      </c>
      <c r="M92" s="44">
        <f t="shared" si="5"/>
        <v>18</v>
      </c>
      <c r="N92" s="44">
        <f t="shared" si="6"/>
        <v>170</v>
      </c>
      <c r="O92" s="44">
        <f t="shared" si="7"/>
        <v>3060</v>
      </c>
      <c r="Q92" s="44" t="s">
        <v>16</v>
      </c>
    </row>
    <row r="93" spans="1:17" ht="12.75">
      <c r="A93" s="45" t="s">
        <v>549</v>
      </c>
      <c r="B93" s="44" t="s">
        <v>39</v>
      </c>
      <c r="C93" s="44" t="s">
        <v>40</v>
      </c>
      <c r="D93" s="44" t="s">
        <v>123</v>
      </c>
      <c r="E93" s="44">
        <v>0</v>
      </c>
      <c r="F93" s="44">
        <v>1983</v>
      </c>
      <c r="G93" s="44">
        <v>1983</v>
      </c>
      <c r="H93" s="46">
        <f>VLOOKUP(G93,coefficienti!A$1:C$36,2)</f>
        <v>0.3756967512806928</v>
      </c>
      <c r="I93" s="44">
        <f>INT(J93*H93/100)*100</f>
        <v>3200</v>
      </c>
      <c r="J93" s="44">
        <v>8700</v>
      </c>
      <c r="K93" s="44">
        <v>20</v>
      </c>
      <c r="L93" s="44">
        <v>17</v>
      </c>
      <c r="M93" s="44">
        <f t="shared" si="5"/>
        <v>3</v>
      </c>
      <c r="N93" s="44">
        <f t="shared" si="6"/>
        <v>160</v>
      </c>
      <c r="O93" s="44">
        <f t="shared" si="7"/>
        <v>480</v>
      </c>
      <c r="Q93" s="44" t="s">
        <v>16</v>
      </c>
    </row>
    <row r="94" spans="9:15" ht="12.75">
      <c r="I94" s="44">
        <f>SUM(I51:I93)</f>
        <v>314880</v>
      </c>
      <c r="J94" s="44">
        <f>SUM(J51:J93)</f>
        <v>445800</v>
      </c>
      <c r="N94" s="44">
        <f>SUM(N51:N93)</f>
        <v>24969.999999999996</v>
      </c>
      <c r="O94" s="44">
        <f>SUM(O51:O93)</f>
        <v>120319.99999999999</v>
      </c>
    </row>
    <row r="95" spans="3:15" ht="12.75">
      <c r="C95" s="44" t="s">
        <v>454</v>
      </c>
      <c r="J95" s="44">
        <f>+J94-O94</f>
        <v>325480</v>
      </c>
      <c r="N95" s="47">
        <f>+N94/J94</f>
        <v>0.056011664423508294</v>
      </c>
      <c r="O95" s="47">
        <f>+N94/I94</f>
        <v>0.07930005081300812</v>
      </c>
    </row>
    <row r="96" spans="14:15" ht="12.75">
      <c r="N96" s="47"/>
      <c r="O96" s="47"/>
    </row>
    <row r="97" ht="12.75">
      <c r="A97" s="44" t="s">
        <v>344</v>
      </c>
    </row>
    <row r="98" spans="1:17" ht="12.75">
      <c r="A98" s="44" t="s">
        <v>1</v>
      </c>
      <c r="B98" s="44" t="s">
        <v>2</v>
      </c>
      <c r="C98" s="44" t="s">
        <v>3</v>
      </c>
      <c r="D98" s="44" t="s">
        <v>15</v>
      </c>
      <c r="E98" s="44" t="s">
        <v>4</v>
      </c>
      <c r="F98" s="44" t="s">
        <v>5</v>
      </c>
      <c r="G98" s="44" t="s">
        <v>6</v>
      </c>
      <c r="H98" s="44" t="s">
        <v>338</v>
      </c>
      <c r="I98" s="44" t="s">
        <v>339</v>
      </c>
      <c r="J98" s="44" t="s">
        <v>7</v>
      </c>
      <c r="K98" s="44" t="s">
        <v>9</v>
      </c>
      <c r="L98" s="44" t="s">
        <v>10</v>
      </c>
      <c r="M98" s="44" t="s">
        <v>8</v>
      </c>
      <c r="N98" s="44" t="s">
        <v>11</v>
      </c>
      <c r="O98" s="44" t="s">
        <v>12</v>
      </c>
      <c r="P98" s="44" t="s">
        <v>13</v>
      </c>
      <c r="Q98" s="44" t="s">
        <v>14</v>
      </c>
    </row>
    <row r="99" spans="1:17" ht="12.75">
      <c r="A99" s="45" t="s">
        <v>549</v>
      </c>
      <c r="B99" s="44" t="s">
        <v>17</v>
      </c>
      <c r="C99" s="44" t="s">
        <v>18</v>
      </c>
      <c r="D99" s="44" t="s">
        <v>80</v>
      </c>
      <c r="E99" s="44">
        <v>67</v>
      </c>
      <c r="F99" s="44">
        <v>1986</v>
      </c>
      <c r="G99" s="44">
        <v>1986</v>
      </c>
      <c r="H99" s="46">
        <f>VLOOKUP(G99,coefficienti!A$1:C$36,2)</f>
        <v>0.5396234168864108</v>
      </c>
      <c r="I99" s="44">
        <f>INT(J99*H99/100)*100</f>
        <v>15500</v>
      </c>
      <c r="J99" s="44">
        <v>28900</v>
      </c>
      <c r="K99" s="44">
        <v>11.11111111111111</v>
      </c>
      <c r="L99" s="44">
        <v>14</v>
      </c>
      <c r="M99" s="44">
        <f>IF(L99&gt;K99,0,K99-L99)</f>
        <v>0</v>
      </c>
      <c r="N99" s="44">
        <f>IF((L99&gt;K99),0,I99/K99)</f>
        <v>0</v>
      </c>
      <c r="O99" s="44">
        <f>+N99*M99</f>
        <v>0</v>
      </c>
      <c r="Q99" s="44" t="s">
        <v>16</v>
      </c>
    </row>
    <row r="100" spans="1:17" ht="12.75">
      <c r="A100" s="45" t="s">
        <v>549</v>
      </c>
      <c r="B100" s="44" t="s">
        <v>19</v>
      </c>
      <c r="C100" s="44" t="s">
        <v>18</v>
      </c>
      <c r="D100" s="44" t="s">
        <v>81</v>
      </c>
      <c r="E100" s="44">
        <v>100</v>
      </c>
      <c r="F100" s="44">
        <v>1993</v>
      </c>
      <c r="G100" s="44">
        <v>1991</v>
      </c>
      <c r="H100" s="46">
        <f>VLOOKUP(G100,coefficienti!A$1:C$36,2)</f>
        <v>0.6929741685820822</v>
      </c>
      <c r="I100" s="44">
        <f aca="true" t="shared" si="8" ref="I100:I135">INT(J100*H100/100)*100</f>
        <v>42600</v>
      </c>
      <c r="J100" s="44">
        <v>61500</v>
      </c>
      <c r="K100" s="44">
        <v>11.11111111111111</v>
      </c>
      <c r="L100" s="44">
        <v>9</v>
      </c>
      <c r="M100" s="44">
        <f aca="true" t="shared" si="9" ref="M100:M141">IF(L100&gt;K100,0,K100-L100)</f>
        <v>2.1111111111111107</v>
      </c>
      <c r="N100" s="44">
        <f aca="true" t="shared" si="10" ref="N100:N141">IF((L100&gt;K100),0,I100/K100)</f>
        <v>3834</v>
      </c>
      <c r="O100" s="44">
        <f aca="true" t="shared" si="11" ref="O100:O141">+N100*M100</f>
        <v>8093.999999999998</v>
      </c>
      <c r="Q100" s="44" t="s">
        <v>16</v>
      </c>
    </row>
    <row r="101" spans="1:17" ht="12.75">
      <c r="A101" s="45" t="s">
        <v>549</v>
      </c>
      <c r="B101" s="44" t="s">
        <v>55</v>
      </c>
      <c r="C101" s="44" t="s">
        <v>18</v>
      </c>
      <c r="D101" s="44" t="s">
        <v>81</v>
      </c>
      <c r="E101" s="44">
        <v>100</v>
      </c>
      <c r="F101" s="44">
        <v>1993</v>
      </c>
      <c r="G101" s="44">
        <v>1993</v>
      </c>
      <c r="H101" s="46">
        <f>VLOOKUP(G101,coefficienti!A$1:C$36,2)</f>
        <v>0.7876165113182424</v>
      </c>
      <c r="I101" s="44">
        <f t="shared" si="8"/>
        <v>48400</v>
      </c>
      <c r="J101" s="44">
        <v>61500</v>
      </c>
      <c r="K101" s="44">
        <v>11.11111111111111</v>
      </c>
      <c r="L101" s="44">
        <v>7</v>
      </c>
      <c r="M101" s="44">
        <f t="shared" si="9"/>
        <v>4.111111111111111</v>
      </c>
      <c r="N101" s="44">
        <f t="shared" si="10"/>
        <v>4356</v>
      </c>
      <c r="O101" s="44">
        <f t="shared" si="11"/>
        <v>17908</v>
      </c>
      <c r="Q101" s="44" t="s">
        <v>16</v>
      </c>
    </row>
    <row r="102" spans="1:17" ht="12.75">
      <c r="A102" s="45" t="s">
        <v>549</v>
      </c>
      <c r="B102" s="44" t="s">
        <v>20</v>
      </c>
      <c r="C102" s="44" t="s">
        <v>21</v>
      </c>
      <c r="D102" s="44" t="s">
        <v>82</v>
      </c>
      <c r="E102" s="44">
        <v>8</v>
      </c>
      <c r="F102" s="44">
        <v>1990</v>
      </c>
      <c r="G102" s="44">
        <v>1990</v>
      </c>
      <c r="H102" s="46">
        <f>VLOOKUP(G102,coefficienti!A$1:C$36,2)</f>
        <v>0.6657789613848203</v>
      </c>
      <c r="I102" s="44">
        <f t="shared" si="8"/>
        <v>1600</v>
      </c>
      <c r="J102" s="44">
        <v>2500</v>
      </c>
      <c r="K102" s="44">
        <v>11.11111111111111</v>
      </c>
      <c r="L102" s="44">
        <v>10</v>
      </c>
      <c r="M102" s="44">
        <f t="shared" si="9"/>
        <v>1.1111111111111107</v>
      </c>
      <c r="N102" s="44">
        <f t="shared" si="10"/>
        <v>144</v>
      </c>
      <c r="O102" s="44">
        <f t="shared" si="11"/>
        <v>159.99999999999994</v>
      </c>
      <c r="Q102" s="44" t="s">
        <v>16</v>
      </c>
    </row>
    <row r="103" spans="1:17" ht="12.75">
      <c r="A103" s="45" t="s">
        <v>549</v>
      </c>
      <c r="B103" s="44" t="s">
        <v>41</v>
      </c>
      <c r="C103" s="44" t="s">
        <v>42</v>
      </c>
      <c r="E103" s="44">
        <v>0</v>
      </c>
      <c r="F103" s="44">
        <v>1992</v>
      </c>
      <c r="G103" s="44">
        <v>1992</v>
      </c>
      <c r="H103" s="46">
        <f>VLOOKUP(G103,coefficienti!A$1:C$36,2)</f>
        <v>0.741011984021305</v>
      </c>
      <c r="I103" s="44">
        <f t="shared" si="8"/>
        <v>1600</v>
      </c>
      <c r="J103" s="44">
        <v>2200</v>
      </c>
      <c r="K103" s="44">
        <v>11.11111111111111</v>
      </c>
      <c r="L103" s="44">
        <v>8</v>
      </c>
      <c r="M103" s="44">
        <f t="shared" si="9"/>
        <v>3.1111111111111107</v>
      </c>
      <c r="N103" s="44">
        <f t="shared" si="10"/>
        <v>144</v>
      </c>
      <c r="O103" s="44">
        <f t="shared" si="11"/>
        <v>447.99999999999994</v>
      </c>
      <c r="Q103" s="44" t="s">
        <v>16</v>
      </c>
    </row>
    <row r="104" spans="1:17" ht="12.75">
      <c r="A104" s="45" t="s">
        <v>549</v>
      </c>
      <c r="B104" s="44" t="s">
        <v>22</v>
      </c>
      <c r="C104" s="44" t="s">
        <v>23</v>
      </c>
      <c r="E104" s="44">
        <v>0</v>
      </c>
      <c r="F104" s="44">
        <v>1998</v>
      </c>
      <c r="G104" s="44">
        <v>1998</v>
      </c>
      <c r="H104" s="46">
        <f>VLOOKUP(G104,coefficienti!A$1:C$36,2)</f>
        <v>0.9880159786950733</v>
      </c>
      <c r="I104" s="44">
        <f t="shared" si="8"/>
        <v>6400</v>
      </c>
      <c r="J104" s="44">
        <v>6500</v>
      </c>
      <c r="K104" s="44">
        <v>11.11111111111111</v>
      </c>
      <c r="L104" s="44">
        <v>2</v>
      </c>
      <c r="M104" s="44">
        <f t="shared" si="9"/>
        <v>9.11111111111111</v>
      </c>
      <c r="N104" s="44">
        <f t="shared" si="10"/>
        <v>576</v>
      </c>
      <c r="O104" s="44">
        <f t="shared" si="11"/>
        <v>5248</v>
      </c>
      <c r="Q104" s="44" t="s">
        <v>16</v>
      </c>
    </row>
    <row r="105" spans="1:17" ht="12.75">
      <c r="A105" s="45" t="s">
        <v>549</v>
      </c>
      <c r="B105" s="44" t="s">
        <v>24</v>
      </c>
      <c r="C105" s="44" t="s">
        <v>25</v>
      </c>
      <c r="D105" s="44" t="s">
        <v>83</v>
      </c>
      <c r="E105" s="44">
        <v>0</v>
      </c>
      <c r="F105" s="44">
        <v>1999</v>
      </c>
      <c r="G105" s="44">
        <v>1999</v>
      </c>
      <c r="H105" s="46">
        <f>VLOOKUP(G105,coefficienti!A$1:C$36,2)</f>
        <v>0.9919551708832667</v>
      </c>
      <c r="I105" s="44">
        <f t="shared" si="8"/>
        <v>3900</v>
      </c>
      <c r="J105" s="44">
        <v>4000</v>
      </c>
      <c r="K105" s="44">
        <v>11.11111111111111</v>
      </c>
      <c r="L105" s="44">
        <v>1</v>
      </c>
      <c r="M105" s="44">
        <f t="shared" si="9"/>
        <v>10.11111111111111</v>
      </c>
      <c r="N105" s="44">
        <f t="shared" si="10"/>
        <v>351</v>
      </c>
      <c r="O105" s="44">
        <f t="shared" si="11"/>
        <v>3549</v>
      </c>
      <c r="Q105" s="44" t="s">
        <v>16</v>
      </c>
    </row>
    <row r="106" spans="1:17" ht="12.75">
      <c r="A106" s="45" t="s">
        <v>549</v>
      </c>
      <c r="B106" s="44" t="s">
        <v>77</v>
      </c>
      <c r="C106" s="44" t="s">
        <v>78</v>
      </c>
      <c r="D106" s="44" t="s">
        <v>84</v>
      </c>
      <c r="E106" s="44">
        <v>0</v>
      </c>
      <c r="F106" s="44">
        <v>1998</v>
      </c>
      <c r="G106" s="44">
        <v>1998</v>
      </c>
      <c r="H106" s="46">
        <f>VLOOKUP(G106,coefficienti!A$1:C$36,2)</f>
        <v>0.9880159786950733</v>
      </c>
      <c r="I106" s="44">
        <f t="shared" si="8"/>
        <v>2800</v>
      </c>
      <c r="J106" s="44">
        <v>2900</v>
      </c>
      <c r="K106" s="44">
        <v>11.11111111111111</v>
      </c>
      <c r="L106" s="44">
        <v>2</v>
      </c>
      <c r="M106" s="44">
        <f t="shared" si="9"/>
        <v>9.11111111111111</v>
      </c>
      <c r="N106" s="44">
        <f t="shared" si="10"/>
        <v>252</v>
      </c>
      <c r="O106" s="44">
        <f t="shared" si="11"/>
        <v>2296</v>
      </c>
      <c r="Q106" s="44" t="s">
        <v>16</v>
      </c>
    </row>
    <row r="107" spans="1:17" ht="12.75">
      <c r="A107" s="45" t="s">
        <v>549</v>
      </c>
      <c r="B107" s="44" t="s">
        <v>28</v>
      </c>
      <c r="C107" s="44" t="s">
        <v>29</v>
      </c>
      <c r="E107" s="44">
        <v>0</v>
      </c>
      <c r="F107" s="44">
        <v>1996</v>
      </c>
      <c r="G107" s="44">
        <v>1996</v>
      </c>
      <c r="H107" s="46">
        <f>VLOOKUP(G107,coefficienti!A$1:C$36,2)</f>
        <v>0.9420772303595207</v>
      </c>
      <c r="I107" s="44">
        <f t="shared" si="8"/>
        <v>1200</v>
      </c>
      <c r="J107" s="44">
        <v>1300</v>
      </c>
      <c r="K107" s="44">
        <v>11.11111111111111</v>
      </c>
      <c r="L107" s="44">
        <v>4</v>
      </c>
      <c r="M107" s="44">
        <f t="shared" si="9"/>
        <v>7.111111111111111</v>
      </c>
      <c r="N107" s="44">
        <f t="shared" si="10"/>
        <v>108</v>
      </c>
      <c r="O107" s="44">
        <f t="shared" si="11"/>
        <v>768</v>
      </c>
      <c r="Q107" s="44" t="s">
        <v>16</v>
      </c>
    </row>
    <row r="108" spans="1:17" ht="12.75">
      <c r="A108" s="45" t="s">
        <v>549</v>
      </c>
      <c r="B108" s="44" t="s">
        <v>43</v>
      </c>
      <c r="C108" s="44" t="s">
        <v>30</v>
      </c>
      <c r="E108" s="44">
        <v>0</v>
      </c>
      <c r="F108" s="44">
        <v>1985</v>
      </c>
      <c r="G108" s="44">
        <v>1985</v>
      </c>
      <c r="H108" s="46">
        <f>VLOOKUP(G108,coefficienti!A$1:C$36,2)</f>
        <v>0.5046221779936384</v>
      </c>
      <c r="I108" s="44">
        <f t="shared" si="8"/>
        <v>2500</v>
      </c>
      <c r="J108" s="44">
        <v>5100</v>
      </c>
      <c r="K108" s="44">
        <v>11.11111111111111</v>
      </c>
      <c r="L108" s="44">
        <v>15</v>
      </c>
      <c r="M108" s="44">
        <f t="shared" si="9"/>
        <v>0</v>
      </c>
      <c r="N108" s="44">
        <f t="shared" si="10"/>
        <v>0</v>
      </c>
      <c r="O108" s="44">
        <f t="shared" si="11"/>
        <v>0</v>
      </c>
      <c r="Q108" s="44" t="s">
        <v>16</v>
      </c>
    </row>
    <row r="109" spans="1:17" ht="12.75">
      <c r="A109" s="45" t="s">
        <v>549</v>
      </c>
      <c r="B109" s="44" t="s">
        <v>68</v>
      </c>
      <c r="C109" s="44" t="s">
        <v>67</v>
      </c>
      <c r="D109" s="44" t="s">
        <v>85</v>
      </c>
      <c r="E109" s="44">
        <v>0</v>
      </c>
      <c r="F109" s="44">
        <v>1990</v>
      </c>
      <c r="G109" s="44">
        <v>1990</v>
      </c>
      <c r="H109" s="46">
        <f>VLOOKUP(G109,coefficienti!A$1:C$36,2)</f>
        <v>0.6657789613848203</v>
      </c>
      <c r="I109" s="44">
        <f t="shared" si="8"/>
        <v>3800</v>
      </c>
      <c r="J109" s="44">
        <v>5800</v>
      </c>
      <c r="K109" s="44">
        <v>11.11111111111111</v>
      </c>
      <c r="L109" s="44">
        <v>10</v>
      </c>
      <c r="M109" s="44">
        <f t="shared" si="9"/>
        <v>1.1111111111111107</v>
      </c>
      <c r="N109" s="44">
        <f t="shared" si="10"/>
        <v>342</v>
      </c>
      <c r="O109" s="44">
        <f t="shared" si="11"/>
        <v>379.9999999999999</v>
      </c>
      <c r="Q109" s="44" t="s">
        <v>16</v>
      </c>
    </row>
    <row r="110" spans="1:17" ht="12.75">
      <c r="A110" s="45" t="s">
        <v>549</v>
      </c>
      <c r="B110" s="44" t="s">
        <v>69</v>
      </c>
      <c r="C110" s="44" t="s">
        <v>67</v>
      </c>
      <c r="D110" s="44" t="s">
        <v>86</v>
      </c>
      <c r="E110" s="44">
        <v>0</v>
      </c>
      <c r="F110" s="44">
        <v>1995</v>
      </c>
      <c r="G110" s="44">
        <v>1995</v>
      </c>
      <c r="H110" s="46">
        <f>VLOOKUP(G110,coefficienti!A$1:C$36,2)</f>
        <v>0.8794940079893475</v>
      </c>
      <c r="I110" s="44">
        <f t="shared" si="8"/>
        <v>5100</v>
      </c>
      <c r="J110" s="44">
        <v>5800</v>
      </c>
      <c r="K110" s="44">
        <v>11.11111111111111</v>
      </c>
      <c r="L110" s="44">
        <v>5</v>
      </c>
      <c r="M110" s="44">
        <f t="shared" si="9"/>
        <v>6.111111111111111</v>
      </c>
      <c r="N110" s="44">
        <f t="shared" si="10"/>
        <v>459</v>
      </c>
      <c r="O110" s="44">
        <f t="shared" si="11"/>
        <v>2805</v>
      </c>
      <c r="Q110" s="44" t="s">
        <v>16</v>
      </c>
    </row>
    <row r="111" spans="1:17" ht="12.75">
      <c r="A111" s="45" t="s">
        <v>549</v>
      </c>
      <c r="B111" s="44" t="s">
        <v>31</v>
      </c>
      <c r="C111" s="44" t="s">
        <v>32</v>
      </c>
      <c r="D111" s="44" t="s">
        <v>87</v>
      </c>
      <c r="E111" s="44">
        <v>0</v>
      </c>
      <c r="F111" s="44">
        <v>1996</v>
      </c>
      <c r="G111" s="44">
        <v>1996</v>
      </c>
      <c r="H111" s="46">
        <f>VLOOKUP(G111,coefficienti!A$1:C$36,2)</f>
        <v>0.9420772303595207</v>
      </c>
      <c r="I111" s="44">
        <f t="shared" si="8"/>
        <v>9800</v>
      </c>
      <c r="J111" s="44">
        <v>10500</v>
      </c>
      <c r="K111" s="44">
        <v>8</v>
      </c>
      <c r="L111" s="44">
        <v>4</v>
      </c>
      <c r="M111" s="44">
        <f t="shared" si="9"/>
        <v>4</v>
      </c>
      <c r="N111" s="44">
        <f t="shared" si="10"/>
        <v>1225</v>
      </c>
      <c r="O111" s="44">
        <f t="shared" si="11"/>
        <v>4900</v>
      </c>
      <c r="Q111" s="44" t="s">
        <v>16</v>
      </c>
    </row>
    <row r="112" spans="1:17" ht="12.75">
      <c r="A112" s="45" t="s">
        <v>549</v>
      </c>
      <c r="B112" s="44" t="s">
        <v>88</v>
      </c>
      <c r="C112" s="44" t="s">
        <v>57</v>
      </c>
      <c r="E112" s="44">
        <v>0</v>
      </c>
      <c r="F112" s="44">
        <v>1990</v>
      </c>
      <c r="G112" s="44">
        <v>1990</v>
      </c>
      <c r="H112" s="46">
        <f>VLOOKUP(G112,coefficienti!A$1:C$36,2)</f>
        <v>0.6657789613848203</v>
      </c>
      <c r="I112" s="44">
        <f t="shared" si="8"/>
        <v>6100</v>
      </c>
      <c r="J112" s="44">
        <v>9300</v>
      </c>
      <c r="K112" s="44">
        <v>8</v>
      </c>
      <c r="L112" s="44">
        <v>10</v>
      </c>
      <c r="M112" s="44">
        <f t="shared" si="9"/>
        <v>0</v>
      </c>
      <c r="N112" s="44">
        <f t="shared" si="10"/>
        <v>0</v>
      </c>
      <c r="O112" s="44">
        <f t="shared" si="11"/>
        <v>0</v>
      </c>
      <c r="Q112" s="44" t="s">
        <v>16</v>
      </c>
    </row>
    <row r="113" spans="1:17" ht="12.75">
      <c r="A113" s="45" t="s">
        <v>549</v>
      </c>
      <c r="B113" s="44" t="s">
        <v>44</v>
      </c>
      <c r="C113" s="44" t="s">
        <v>45</v>
      </c>
      <c r="D113" s="44" t="s">
        <v>89</v>
      </c>
      <c r="E113" s="44">
        <v>0</v>
      </c>
      <c r="F113" s="44">
        <v>1995</v>
      </c>
      <c r="G113" s="44">
        <v>1995</v>
      </c>
      <c r="H113" s="46">
        <f>VLOOKUP(G113,coefficienti!A$1:C$36,2)</f>
        <v>0.8794940079893475</v>
      </c>
      <c r="I113" s="44">
        <f t="shared" si="8"/>
        <v>2100</v>
      </c>
      <c r="J113" s="44">
        <v>2500</v>
      </c>
      <c r="K113" s="44">
        <v>11.11111111111111</v>
      </c>
      <c r="L113" s="44">
        <v>5</v>
      </c>
      <c r="M113" s="44">
        <f t="shared" si="9"/>
        <v>6.111111111111111</v>
      </c>
      <c r="N113" s="44">
        <f t="shared" si="10"/>
        <v>189</v>
      </c>
      <c r="O113" s="44">
        <f t="shared" si="11"/>
        <v>1155</v>
      </c>
      <c r="Q113" s="44" t="s">
        <v>16</v>
      </c>
    </row>
    <row r="114" spans="1:17" ht="12.75">
      <c r="A114" s="45" t="s">
        <v>549</v>
      </c>
      <c r="B114" s="44" t="s">
        <v>90</v>
      </c>
      <c r="C114" s="44" t="s">
        <v>46</v>
      </c>
      <c r="D114" s="44" t="s">
        <v>91</v>
      </c>
      <c r="E114" s="44">
        <v>0</v>
      </c>
      <c r="F114" s="44">
        <v>1994</v>
      </c>
      <c r="G114" s="44">
        <v>1994</v>
      </c>
      <c r="H114" s="46">
        <f>VLOOKUP(G114,coefficienti!A$1:C$36,2)</f>
        <v>0.8169107856191745</v>
      </c>
      <c r="I114" s="44">
        <f t="shared" si="8"/>
        <v>6600</v>
      </c>
      <c r="J114" s="44">
        <v>8200</v>
      </c>
      <c r="K114" s="44">
        <v>11.11111111111111</v>
      </c>
      <c r="L114" s="44">
        <v>6</v>
      </c>
      <c r="M114" s="44">
        <f t="shared" si="9"/>
        <v>5.111111111111111</v>
      </c>
      <c r="N114" s="44">
        <f t="shared" si="10"/>
        <v>594</v>
      </c>
      <c r="O114" s="44">
        <f t="shared" si="11"/>
        <v>3035.9999999999995</v>
      </c>
      <c r="Q114" s="44" t="s">
        <v>16</v>
      </c>
    </row>
    <row r="115" spans="1:17" ht="12.75">
      <c r="A115" s="45" t="s">
        <v>549</v>
      </c>
      <c r="B115" s="44" t="s">
        <v>92</v>
      </c>
      <c r="C115" s="44" t="s">
        <v>46</v>
      </c>
      <c r="D115" s="44" t="s">
        <v>93</v>
      </c>
      <c r="E115" s="44">
        <v>0</v>
      </c>
      <c r="F115" s="44">
        <v>1994</v>
      </c>
      <c r="G115" s="44">
        <v>1994</v>
      </c>
      <c r="H115" s="46">
        <f>VLOOKUP(G115,coefficienti!A$1:C$36,2)</f>
        <v>0.8169107856191745</v>
      </c>
      <c r="I115" s="44">
        <f t="shared" si="8"/>
        <v>6600</v>
      </c>
      <c r="J115" s="44">
        <v>8200</v>
      </c>
      <c r="K115" s="44">
        <v>11.11111111111111</v>
      </c>
      <c r="L115" s="44">
        <v>6</v>
      </c>
      <c r="M115" s="44">
        <f t="shared" si="9"/>
        <v>5.111111111111111</v>
      </c>
      <c r="N115" s="44">
        <f t="shared" si="10"/>
        <v>594</v>
      </c>
      <c r="O115" s="44">
        <f t="shared" si="11"/>
        <v>3035.9999999999995</v>
      </c>
      <c r="Q115" s="44" t="s">
        <v>16</v>
      </c>
    </row>
    <row r="116" spans="1:17" ht="12.75">
      <c r="A116" s="45" t="s">
        <v>549</v>
      </c>
      <c r="B116" s="44" t="s">
        <v>94</v>
      </c>
      <c r="C116" s="44" t="s">
        <v>46</v>
      </c>
      <c r="E116" s="44">
        <v>0</v>
      </c>
      <c r="F116" s="44">
        <v>1999</v>
      </c>
      <c r="G116" s="44">
        <v>1993</v>
      </c>
      <c r="H116" s="46">
        <f>VLOOKUP(G116,coefficienti!A$1:C$36,2)</f>
        <v>0.7876165113182424</v>
      </c>
      <c r="I116" s="44">
        <f t="shared" si="8"/>
        <v>6400</v>
      </c>
      <c r="J116" s="44">
        <v>8200</v>
      </c>
      <c r="K116" s="44">
        <v>11.11111111111111</v>
      </c>
      <c r="L116" s="44">
        <v>7</v>
      </c>
      <c r="M116" s="44">
        <f t="shared" si="9"/>
        <v>4.111111111111111</v>
      </c>
      <c r="N116" s="44">
        <f t="shared" si="10"/>
        <v>576</v>
      </c>
      <c r="O116" s="44">
        <f t="shared" si="11"/>
        <v>2368</v>
      </c>
      <c r="Q116" s="44" t="s">
        <v>16</v>
      </c>
    </row>
    <row r="117" spans="1:17" ht="12.75">
      <c r="A117" s="45" t="s">
        <v>549</v>
      </c>
      <c r="B117" s="44" t="s">
        <v>33</v>
      </c>
      <c r="C117" s="44" t="s">
        <v>34</v>
      </c>
      <c r="D117" s="44" t="s">
        <v>95</v>
      </c>
      <c r="E117" s="44">
        <v>0</v>
      </c>
      <c r="F117" s="44">
        <v>1992</v>
      </c>
      <c r="G117" s="44">
        <v>1992</v>
      </c>
      <c r="H117" s="46">
        <f>VLOOKUP(G117,coefficienti!A$1:C$36,2)</f>
        <v>0.741011984021305</v>
      </c>
      <c r="I117" s="44">
        <f t="shared" si="8"/>
        <v>4200</v>
      </c>
      <c r="J117" s="44">
        <v>5800</v>
      </c>
      <c r="K117" s="44">
        <v>8</v>
      </c>
      <c r="L117" s="44">
        <v>8</v>
      </c>
      <c r="M117" s="44">
        <f t="shared" si="9"/>
        <v>0</v>
      </c>
      <c r="N117" s="44">
        <f t="shared" si="10"/>
        <v>525</v>
      </c>
      <c r="O117" s="44">
        <f t="shared" si="11"/>
        <v>0</v>
      </c>
      <c r="Q117" s="44" t="s">
        <v>16</v>
      </c>
    </row>
    <row r="118" spans="1:17" ht="12.75">
      <c r="A118" s="45" t="s">
        <v>549</v>
      </c>
      <c r="B118" s="44" t="s">
        <v>96</v>
      </c>
      <c r="C118" s="44" t="s">
        <v>97</v>
      </c>
      <c r="E118" s="44">
        <v>0</v>
      </c>
      <c r="F118" s="44">
        <v>1997</v>
      </c>
      <c r="G118" s="44">
        <v>1997</v>
      </c>
      <c r="H118" s="46">
        <f>VLOOKUP(G118,coefficienti!A$1:C$36,2)</f>
        <v>0.9733688415446072</v>
      </c>
      <c r="I118" s="44">
        <f t="shared" si="8"/>
        <v>12600</v>
      </c>
      <c r="J118" s="44">
        <v>13000</v>
      </c>
      <c r="K118" s="44">
        <v>11.11111111111111</v>
      </c>
      <c r="L118" s="44">
        <v>3</v>
      </c>
      <c r="M118" s="44">
        <f t="shared" si="9"/>
        <v>8.11111111111111</v>
      </c>
      <c r="N118" s="44">
        <f t="shared" si="10"/>
        <v>1134</v>
      </c>
      <c r="O118" s="44">
        <f t="shared" si="11"/>
        <v>9198</v>
      </c>
      <c r="Q118" s="44" t="s">
        <v>16</v>
      </c>
    </row>
    <row r="119" spans="1:17" ht="12.75">
      <c r="A119" s="45" t="s">
        <v>549</v>
      </c>
      <c r="B119" s="44" t="s">
        <v>50</v>
      </c>
      <c r="C119" s="44" t="s">
        <v>51</v>
      </c>
      <c r="D119" s="44" t="s">
        <v>98</v>
      </c>
      <c r="E119" s="44">
        <v>0</v>
      </c>
      <c r="F119" s="44">
        <v>1998</v>
      </c>
      <c r="G119" s="44">
        <v>1998</v>
      </c>
      <c r="H119" s="46">
        <f>VLOOKUP(G119,coefficienti!A$1:C$36,2)</f>
        <v>0.9880159786950733</v>
      </c>
      <c r="I119" s="44">
        <f t="shared" si="8"/>
        <v>16800</v>
      </c>
      <c r="J119" s="44">
        <v>17100</v>
      </c>
      <c r="K119" s="44">
        <v>11.11111111111111</v>
      </c>
      <c r="L119" s="44">
        <v>2</v>
      </c>
      <c r="M119" s="44">
        <f t="shared" si="9"/>
        <v>9.11111111111111</v>
      </c>
      <c r="N119" s="44">
        <f t="shared" si="10"/>
        <v>1512</v>
      </c>
      <c r="O119" s="44">
        <f t="shared" si="11"/>
        <v>13776</v>
      </c>
      <c r="Q119" s="44" t="s">
        <v>16</v>
      </c>
    </row>
    <row r="120" spans="1:17" ht="12.75">
      <c r="A120" s="45" t="s">
        <v>549</v>
      </c>
      <c r="B120" s="44" t="s">
        <v>47</v>
      </c>
      <c r="C120" s="44" t="s">
        <v>48</v>
      </c>
      <c r="E120" s="44">
        <v>0</v>
      </c>
      <c r="F120" s="44">
        <v>1995</v>
      </c>
      <c r="G120" s="44">
        <v>1995</v>
      </c>
      <c r="H120" s="46">
        <f>VLOOKUP(G120,coefficienti!A$1:C$36,2)</f>
        <v>0.8794940079893475</v>
      </c>
      <c r="I120" s="44">
        <f t="shared" si="8"/>
        <v>4100</v>
      </c>
      <c r="J120" s="44">
        <v>4700</v>
      </c>
      <c r="K120" s="44">
        <v>11.11111111111111</v>
      </c>
      <c r="L120" s="44">
        <v>5</v>
      </c>
      <c r="M120" s="44">
        <f t="shared" si="9"/>
        <v>6.111111111111111</v>
      </c>
      <c r="N120" s="44">
        <f t="shared" si="10"/>
        <v>369</v>
      </c>
      <c r="O120" s="44">
        <f t="shared" si="11"/>
        <v>2255</v>
      </c>
      <c r="Q120" s="44" t="s">
        <v>16</v>
      </c>
    </row>
    <row r="121" spans="1:17" ht="12.75">
      <c r="A121" s="45" t="s">
        <v>549</v>
      </c>
      <c r="B121" s="44" t="s">
        <v>35</v>
      </c>
      <c r="C121" s="44" t="s">
        <v>36</v>
      </c>
      <c r="D121" s="44" t="s">
        <v>70</v>
      </c>
      <c r="E121" s="44">
        <v>0</v>
      </c>
      <c r="F121" s="44">
        <v>1992</v>
      </c>
      <c r="G121" s="44">
        <v>1992</v>
      </c>
      <c r="H121" s="46">
        <f>VLOOKUP(G121,coefficienti!A$1:C$36,2)</f>
        <v>0.741011984021305</v>
      </c>
      <c r="I121" s="44">
        <f t="shared" si="8"/>
        <v>2400</v>
      </c>
      <c r="J121" s="44">
        <v>3300</v>
      </c>
      <c r="K121" s="44">
        <v>11.11111111111111</v>
      </c>
      <c r="L121" s="44">
        <v>8</v>
      </c>
      <c r="M121" s="44">
        <f t="shared" si="9"/>
        <v>3.1111111111111107</v>
      </c>
      <c r="N121" s="44">
        <f t="shared" si="10"/>
        <v>216</v>
      </c>
      <c r="O121" s="44">
        <f t="shared" si="11"/>
        <v>671.9999999999999</v>
      </c>
      <c r="Q121" s="44" t="s">
        <v>16</v>
      </c>
    </row>
    <row r="122" spans="1:17" ht="12.75">
      <c r="A122" s="45" t="s">
        <v>549</v>
      </c>
      <c r="B122" s="44" t="s">
        <v>71</v>
      </c>
      <c r="C122" s="44" t="s">
        <v>72</v>
      </c>
      <c r="E122" s="44">
        <v>0</v>
      </c>
      <c r="F122" s="44">
        <v>1995</v>
      </c>
      <c r="G122" s="44">
        <v>1995</v>
      </c>
      <c r="H122" s="46">
        <f>VLOOKUP(G122,coefficienti!A$1:C$36,2)</f>
        <v>0.8794940079893475</v>
      </c>
      <c r="I122" s="44">
        <f t="shared" si="8"/>
        <v>28500</v>
      </c>
      <c r="J122" s="44">
        <v>32500</v>
      </c>
      <c r="K122" s="44">
        <v>8</v>
      </c>
      <c r="L122" s="44">
        <v>5</v>
      </c>
      <c r="M122" s="44">
        <f t="shared" si="9"/>
        <v>3</v>
      </c>
      <c r="N122" s="44">
        <f t="shared" si="10"/>
        <v>3562.5</v>
      </c>
      <c r="O122" s="44">
        <f t="shared" si="11"/>
        <v>10687.5</v>
      </c>
      <c r="Q122" s="44" t="s">
        <v>16</v>
      </c>
    </row>
    <row r="123" spans="1:17" ht="12.75">
      <c r="A123" s="45" t="s">
        <v>549</v>
      </c>
      <c r="B123" s="44" t="s">
        <v>58</v>
      </c>
      <c r="C123" s="44" t="s">
        <v>49</v>
      </c>
      <c r="E123" s="44">
        <v>0</v>
      </c>
      <c r="F123" s="44">
        <v>1997</v>
      </c>
      <c r="G123" s="44">
        <v>1997</v>
      </c>
      <c r="H123" s="46">
        <f>VLOOKUP(G123,coefficienti!A$1:C$36,2)</f>
        <v>0.9733688415446072</v>
      </c>
      <c r="I123" s="44">
        <f t="shared" si="8"/>
        <v>5200</v>
      </c>
      <c r="J123" s="44">
        <v>5400</v>
      </c>
      <c r="K123" s="44">
        <v>11.11111111111111</v>
      </c>
      <c r="L123" s="44">
        <v>3</v>
      </c>
      <c r="M123" s="44">
        <f t="shared" si="9"/>
        <v>8.11111111111111</v>
      </c>
      <c r="N123" s="44">
        <f t="shared" si="10"/>
        <v>468</v>
      </c>
      <c r="O123" s="44">
        <f t="shared" si="11"/>
        <v>3796</v>
      </c>
      <c r="Q123" s="44" t="s">
        <v>16</v>
      </c>
    </row>
    <row r="124" spans="1:17" ht="12.75">
      <c r="A124" s="45" t="s">
        <v>549</v>
      </c>
      <c r="B124" s="44" t="s">
        <v>59</v>
      </c>
      <c r="C124" s="44" t="s">
        <v>60</v>
      </c>
      <c r="E124" s="44">
        <v>0</v>
      </c>
      <c r="F124" s="44">
        <v>1991</v>
      </c>
      <c r="G124" s="44">
        <v>1991</v>
      </c>
      <c r="H124" s="46">
        <f>VLOOKUP(G124,coefficienti!A$1:C$36,2)</f>
        <v>0.6929741685820822</v>
      </c>
      <c r="I124" s="44">
        <f t="shared" si="8"/>
        <v>11700</v>
      </c>
      <c r="J124" s="44">
        <v>17000</v>
      </c>
      <c r="K124" s="44">
        <v>8</v>
      </c>
      <c r="L124" s="44">
        <v>9</v>
      </c>
      <c r="M124" s="44">
        <f t="shared" si="9"/>
        <v>0</v>
      </c>
      <c r="N124" s="44">
        <f t="shared" si="10"/>
        <v>0</v>
      </c>
      <c r="O124" s="44">
        <f t="shared" si="11"/>
        <v>0</v>
      </c>
      <c r="Q124" s="44" t="s">
        <v>16</v>
      </c>
    </row>
    <row r="125" spans="1:17" ht="12.75">
      <c r="A125" s="45" t="s">
        <v>549</v>
      </c>
      <c r="B125" s="44" t="s">
        <v>61</v>
      </c>
      <c r="C125" s="44" t="s">
        <v>62</v>
      </c>
      <c r="D125" s="44" t="s">
        <v>99</v>
      </c>
      <c r="E125" s="44">
        <v>0</v>
      </c>
      <c r="F125" s="44">
        <v>1983</v>
      </c>
      <c r="G125" s="44">
        <v>1983</v>
      </c>
      <c r="H125" s="46">
        <f>VLOOKUP(G125,coefficienti!A$1:C$36,2)</f>
        <v>0.3756967512806928</v>
      </c>
      <c r="I125" s="44">
        <f t="shared" si="8"/>
        <v>3200</v>
      </c>
      <c r="J125" s="44">
        <v>8700</v>
      </c>
      <c r="K125" s="44">
        <v>8</v>
      </c>
      <c r="L125" s="44">
        <v>17</v>
      </c>
      <c r="M125" s="44">
        <f t="shared" si="9"/>
        <v>0</v>
      </c>
      <c r="N125" s="44">
        <f t="shared" si="10"/>
        <v>0</v>
      </c>
      <c r="O125" s="44">
        <f t="shared" si="11"/>
        <v>0</v>
      </c>
      <c r="Q125" s="44" t="s">
        <v>16</v>
      </c>
    </row>
    <row r="126" spans="1:17" ht="12.75">
      <c r="A126" s="45" t="s">
        <v>549</v>
      </c>
      <c r="B126" s="44" t="s">
        <v>63</v>
      </c>
      <c r="C126" s="44" t="s">
        <v>64</v>
      </c>
      <c r="D126" s="44" t="s">
        <v>100</v>
      </c>
      <c r="E126" s="44">
        <v>0</v>
      </c>
      <c r="F126" s="44">
        <v>1991</v>
      </c>
      <c r="G126" s="44">
        <v>1991</v>
      </c>
      <c r="H126" s="46">
        <f>VLOOKUP(G126,coefficienti!A$1:C$36,2)</f>
        <v>0.6929741685820822</v>
      </c>
      <c r="I126" s="44">
        <f t="shared" si="8"/>
        <v>9000</v>
      </c>
      <c r="J126" s="44">
        <v>13000</v>
      </c>
      <c r="K126" s="44">
        <v>8</v>
      </c>
      <c r="L126" s="44">
        <v>9</v>
      </c>
      <c r="M126" s="44">
        <f t="shared" si="9"/>
        <v>0</v>
      </c>
      <c r="N126" s="44">
        <f t="shared" si="10"/>
        <v>0</v>
      </c>
      <c r="O126" s="44">
        <f t="shared" si="11"/>
        <v>0</v>
      </c>
      <c r="Q126" s="44" t="s">
        <v>16</v>
      </c>
    </row>
    <row r="127" spans="1:17" ht="12.75">
      <c r="A127" s="45" t="s">
        <v>549</v>
      </c>
      <c r="B127" s="44" t="s">
        <v>101</v>
      </c>
      <c r="C127" s="44" t="s">
        <v>73</v>
      </c>
      <c r="D127" s="44" t="s">
        <v>102</v>
      </c>
      <c r="E127" s="44">
        <v>0</v>
      </c>
      <c r="F127" s="44">
        <v>1983</v>
      </c>
      <c r="G127" s="44">
        <v>1983</v>
      </c>
      <c r="H127" s="46">
        <f>VLOOKUP(G127,coefficienti!A$1:C$36,2)</f>
        <v>0.3756967512806928</v>
      </c>
      <c r="I127" s="44">
        <f t="shared" si="8"/>
        <v>1700</v>
      </c>
      <c r="J127" s="44">
        <v>4700</v>
      </c>
      <c r="K127" s="44">
        <v>8</v>
      </c>
      <c r="L127" s="44">
        <v>17</v>
      </c>
      <c r="M127" s="44">
        <f t="shared" si="9"/>
        <v>0</v>
      </c>
      <c r="N127" s="44">
        <f t="shared" si="10"/>
        <v>0</v>
      </c>
      <c r="O127" s="44">
        <f t="shared" si="11"/>
        <v>0</v>
      </c>
      <c r="Q127" s="44" t="s">
        <v>16</v>
      </c>
    </row>
    <row r="128" spans="1:17" ht="12.75">
      <c r="A128" s="45" t="s">
        <v>549</v>
      </c>
      <c r="B128" s="44" t="s">
        <v>103</v>
      </c>
      <c r="C128" s="44" t="s">
        <v>73</v>
      </c>
      <c r="D128" s="44" t="s">
        <v>102</v>
      </c>
      <c r="E128" s="44">
        <v>0</v>
      </c>
      <c r="F128" s="44">
        <v>1988</v>
      </c>
      <c r="G128" s="44">
        <v>1988</v>
      </c>
      <c r="H128" s="46">
        <f>VLOOKUP(G128,coefficienti!A$1:C$36,2)</f>
        <v>0.5925029864366423</v>
      </c>
      <c r="I128" s="44">
        <f t="shared" si="8"/>
        <v>2700</v>
      </c>
      <c r="J128" s="44">
        <v>4700</v>
      </c>
      <c r="K128" s="44">
        <v>8</v>
      </c>
      <c r="L128" s="44">
        <v>12</v>
      </c>
      <c r="M128" s="44">
        <f t="shared" si="9"/>
        <v>0</v>
      </c>
      <c r="N128" s="44">
        <f t="shared" si="10"/>
        <v>0</v>
      </c>
      <c r="O128" s="44">
        <f t="shared" si="11"/>
        <v>0</v>
      </c>
      <c r="Q128" s="44" t="s">
        <v>16</v>
      </c>
    </row>
    <row r="129" spans="1:17" ht="12.75">
      <c r="A129" s="45" t="s">
        <v>549</v>
      </c>
      <c r="B129" s="44" t="s">
        <v>104</v>
      </c>
      <c r="C129" s="44" t="s">
        <v>73</v>
      </c>
      <c r="D129" s="44" t="s">
        <v>105</v>
      </c>
      <c r="E129" s="44">
        <v>0</v>
      </c>
      <c r="F129" s="44">
        <v>1995</v>
      </c>
      <c r="G129" s="44">
        <v>1995</v>
      </c>
      <c r="H129" s="46">
        <f>VLOOKUP(G129,coefficienti!A$1:C$36,2)</f>
        <v>0.8794940079893475</v>
      </c>
      <c r="I129" s="44">
        <f t="shared" si="8"/>
        <v>4100</v>
      </c>
      <c r="J129" s="44">
        <v>4700</v>
      </c>
      <c r="K129" s="44">
        <v>8</v>
      </c>
      <c r="L129" s="44">
        <v>5</v>
      </c>
      <c r="M129" s="44">
        <f t="shared" si="9"/>
        <v>3</v>
      </c>
      <c r="N129" s="44">
        <f t="shared" si="10"/>
        <v>512.5</v>
      </c>
      <c r="O129" s="44">
        <f t="shared" si="11"/>
        <v>1537.5</v>
      </c>
      <c r="Q129" s="44" t="s">
        <v>16</v>
      </c>
    </row>
    <row r="130" spans="1:17" ht="12.75">
      <c r="A130" s="45" t="s">
        <v>549</v>
      </c>
      <c r="B130" s="44" t="s">
        <v>65</v>
      </c>
      <c r="C130" s="44" t="s">
        <v>66</v>
      </c>
      <c r="D130" s="44" t="s">
        <v>106</v>
      </c>
      <c r="E130" s="44">
        <v>0</v>
      </c>
      <c r="F130" s="44">
        <v>1983</v>
      </c>
      <c r="G130" s="44">
        <v>1983</v>
      </c>
      <c r="H130" s="46">
        <f>VLOOKUP(G130,coefficienti!A$1:C$36,2)</f>
        <v>0.3756967512806928</v>
      </c>
      <c r="I130" s="44">
        <f t="shared" si="8"/>
        <v>9500</v>
      </c>
      <c r="J130" s="44">
        <v>25300</v>
      </c>
      <c r="K130" s="44">
        <v>8</v>
      </c>
      <c r="L130" s="44">
        <v>17</v>
      </c>
      <c r="M130" s="44">
        <f t="shared" si="9"/>
        <v>0</v>
      </c>
      <c r="N130" s="44">
        <f t="shared" si="10"/>
        <v>0</v>
      </c>
      <c r="O130" s="44">
        <f t="shared" si="11"/>
        <v>0</v>
      </c>
      <c r="Q130" s="44" t="s">
        <v>16</v>
      </c>
    </row>
    <row r="131" spans="1:17" ht="12.75">
      <c r="A131" s="45" t="s">
        <v>549</v>
      </c>
      <c r="B131" s="44" t="s">
        <v>74</v>
      </c>
      <c r="C131" s="44" t="s">
        <v>66</v>
      </c>
      <c r="D131" s="44" t="s">
        <v>107</v>
      </c>
      <c r="E131" s="44">
        <v>0</v>
      </c>
      <c r="F131" s="44">
        <v>1992</v>
      </c>
      <c r="G131" s="44">
        <v>1992</v>
      </c>
      <c r="H131" s="46">
        <f>VLOOKUP(G131,coefficienti!A$1:C$36,2)</f>
        <v>0.741011984021305</v>
      </c>
      <c r="I131" s="44">
        <f t="shared" si="8"/>
        <v>1700</v>
      </c>
      <c r="J131" s="44">
        <v>2300</v>
      </c>
      <c r="K131" s="44">
        <v>10</v>
      </c>
      <c r="L131" s="44">
        <v>8</v>
      </c>
      <c r="M131" s="44">
        <f t="shared" si="9"/>
        <v>2</v>
      </c>
      <c r="N131" s="44">
        <f t="shared" si="10"/>
        <v>170</v>
      </c>
      <c r="O131" s="44">
        <f t="shared" si="11"/>
        <v>340</v>
      </c>
      <c r="Q131" s="44" t="s">
        <v>16</v>
      </c>
    </row>
    <row r="132" spans="1:17" ht="12.75">
      <c r="A132" s="45" t="s">
        <v>549</v>
      </c>
      <c r="B132" s="44" t="s">
        <v>75</v>
      </c>
      <c r="C132" s="44" t="s">
        <v>66</v>
      </c>
      <c r="D132" s="44" t="s">
        <v>108</v>
      </c>
      <c r="E132" s="44">
        <v>0</v>
      </c>
      <c r="F132" s="44">
        <v>1994</v>
      </c>
      <c r="G132" s="44">
        <v>1994</v>
      </c>
      <c r="H132" s="46">
        <f>VLOOKUP(G132,coefficienti!A$1:C$36,2)</f>
        <v>0.8169107856191745</v>
      </c>
      <c r="I132" s="44">
        <f t="shared" si="8"/>
        <v>1100</v>
      </c>
      <c r="J132" s="44">
        <v>1400</v>
      </c>
      <c r="K132" s="44">
        <v>8</v>
      </c>
      <c r="L132" s="44">
        <v>6</v>
      </c>
      <c r="M132" s="44">
        <f t="shared" si="9"/>
        <v>2</v>
      </c>
      <c r="N132" s="44">
        <f t="shared" si="10"/>
        <v>137.5</v>
      </c>
      <c r="O132" s="44">
        <f t="shared" si="11"/>
        <v>275</v>
      </c>
      <c r="Q132" s="44" t="s">
        <v>16</v>
      </c>
    </row>
    <row r="133" spans="1:17" ht="12.75">
      <c r="A133" s="45" t="s">
        <v>549</v>
      </c>
      <c r="B133" s="44" t="s">
        <v>109</v>
      </c>
      <c r="C133" s="44" t="s">
        <v>110</v>
      </c>
      <c r="D133" s="44" t="s">
        <v>111</v>
      </c>
      <c r="E133" s="44">
        <v>0</v>
      </c>
      <c r="F133" s="44">
        <v>1996</v>
      </c>
      <c r="G133" s="44">
        <v>1996</v>
      </c>
      <c r="H133" s="46">
        <f>VLOOKUP(G133,coefficienti!A$1:C$36,2)</f>
        <v>0.9420772303595207</v>
      </c>
      <c r="I133" s="44">
        <f t="shared" si="8"/>
        <v>4000</v>
      </c>
      <c r="J133" s="44">
        <v>4300</v>
      </c>
      <c r="K133" s="44">
        <v>8</v>
      </c>
      <c r="L133" s="44">
        <v>4</v>
      </c>
      <c r="M133" s="44">
        <f t="shared" si="9"/>
        <v>4</v>
      </c>
      <c r="N133" s="44">
        <f t="shared" si="10"/>
        <v>500</v>
      </c>
      <c r="O133" s="44">
        <f t="shared" si="11"/>
        <v>2000</v>
      </c>
      <c r="Q133" s="44" t="s">
        <v>16</v>
      </c>
    </row>
    <row r="134" spans="1:17" ht="12.75">
      <c r="A134" s="45" t="s">
        <v>549</v>
      </c>
      <c r="B134" s="44" t="s">
        <v>112</v>
      </c>
      <c r="C134" s="44" t="s">
        <v>110</v>
      </c>
      <c r="D134" s="44" t="s">
        <v>113</v>
      </c>
      <c r="E134" s="44">
        <v>0</v>
      </c>
      <c r="F134" s="44">
        <v>1983</v>
      </c>
      <c r="G134" s="44">
        <v>1983</v>
      </c>
      <c r="H134" s="46">
        <f>VLOOKUP(G134,coefficienti!A$1:C$36,2)</f>
        <v>0.3756967512806928</v>
      </c>
      <c r="I134" s="44">
        <f t="shared" si="8"/>
        <v>1600</v>
      </c>
      <c r="J134" s="44">
        <v>4300</v>
      </c>
      <c r="K134" s="44">
        <v>8</v>
      </c>
      <c r="L134" s="44">
        <v>17</v>
      </c>
      <c r="M134" s="44">
        <f t="shared" si="9"/>
        <v>0</v>
      </c>
      <c r="N134" s="44">
        <f t="shared" si="10"/>
        <v>0</v>
      </c>
      <c r="O134" s="44">
        <f t="shared" si="11"/>
        <v>0</v>
      </c>
      <c r="Q134" s="44" t="s">
        <v>16</v>
      </c>
    </row>
    <row r="135" spans="1:17" ht="12.75">
      <c r="A135" s="45" t="s">
        <v>549</v>
      </c>
      <c r="B135" s="44" t="s">
        <v>114</v>
      </c>
      <c r="C135" s="44" t="s">
        <v>115</v>
      </c>
      <c r="D135" s="44" t="s">
        <v>116</v>
      </c>
      <c r="E135" s="44">
        <v>0</v>
      </c>
      <c r="F135" s="44">
        <v>1983</v>
      </c>
      <c r="G135" s="44">
        <v>1983</v>
      </c>
      <c r="H135" s="46">
        <f>VLOOKUP(G135,coefficienti!A$1:C$36,2)</f>
        <v>0.3756967512806928</v>
      </c>
      <c r="I135" s="44">
        <f t="shared" si="8"/>
        <v>1300</v>
      </c>
      <c r="J135" s="44">
        <v>3600</v>
      </c>
      <c r="K135" s="44">
        <v>8</v>
      </c>
      <c r="L135" s="44">
        <v>17</v>
      </c>
      <c r="M135" s="44">
        <f t="shared" si="9"/>
        <v>0</v>
      </c>
      <c r="N135" s="44">
        <f t="shared" si="10"/>
        <v>0</v>
      </c>
      <c r="O135" s="44">
        <f t="shared" si="11"/>
        <v>0</v>
      </c>
      <c r="Q135" s="44" t="s">
        <v>16</v>
      </c>
    </row>
    <row r="136" spans="1:17" ht="12.75">
      <c r="A136" s="45" t="s">
        <v>549</v>
      </c>
      <c r="B136" s="44" t="s">
        <v>52</v>
      </c>
      <c r="C136" s="44" t="s">
        <v>53</v>
      </c>
      <c r="D136" s="44" t="s">
        <v>117</v>
      </c>
      <c r="E136" s="44">
        <v>0</v>
      </c>
      <c r="F136" s="44">
        <v>1975</v>
      </c>
      <c r="G136" s="44">
        <v>1975</v>
      </c>
      <c r="H136" s="46">
        <f>VLOOKUP(G136,coefficienti!A$1:C$36,2)</f>
        <v>0.11709047543265562</v>
      </c>
      <c r="I136" s="44">
        <f>INT(J136*H136/10)*10</f>
        <v>80</v>
      </c>
      <c r="J136" s="44">
        <v>700</v>
      </c>
      <c r="K136" s="44">
        <v>11.11111111111111</v>
      </c>
      <c r="L136" s="44">
        <v>25</v>
      </c>
      <c r="M136" s="44">
        <f t="shared" si="9"/>
        <v>0</v>
      </c>
      <c r="N136" s="44">
        <f t="shared" si="10"/>
        <v>0</v>
      </c>
      <c r="O136" s="44">
        <f t="shared" si="11"/>
        <v>0</v>
      </c>
      <c r="Q136" s="44" t="s">
        <v>16</v>
      </c>
    </row>
    <row r="137" spans="1:17" ht="12.75">
      <c r="A137" s="45" t="s">
        <v>549</v>
      </c>
      <c r="B137" s="44" t="s">
        <v>54</v>
      </c>
      <c r="C137" s="44" t="s">
        <v>53</v>
      </c>
      <c r="D137" s="44" t="s">
        <v>118</v>
      </c>
      <c r="E137" s="44">
        <v>0</v>
      </c>
      <c r="F137" s="44">
        <v>1989</v>
      </c>
      <c r="G137" s="44">
        <v>1989</v>
      </c>
      <c r="H137" s="46">
        <f>VLOOKUP(G137,coefficienti!A$1:C$36,2)</f>
        <v>0.6322885673363403</v>
      </c>
      <c r="I137" s="44">
        <f>INT(J137*H137/100)*100</f>
        <v>600</v>
      </c>
      <c r="J137" s="44">
        <v>1100</v>
      </c>
      <c r="K137" s="44">
        <v>11.11111111111111</v>
      </c>
      <c r="L137" s="44">
        <v>11</v>
      </c>
      <c r="M137" s="44">
        <f t="shared" si="9"/>
        <v>0.11111111111111072</v>
      </c>
      <c r="N137" s="44">
        <f t="shared" si="10"/>
        <v>54</v>
      </c>
      <c r="O137" s="44">
        <f t="shared" si="11"/>
        <v>5.999999999999979</v>
      </c>
      <c r="Q137" s="44" t="s">
        <v>16</v>
      </c>
    </row>
    <row r="138" spans="1:17" ht="12.75">
      <c r="A138" s="45" t="s">
        <v>549</v>
      </c>
      <c r="B138" s="44" t="s">
        <v>37</v>
      </c>
      <c r="C138" s="44" t="s">
        <v>38</v>
      </c>
      <c r="E138" s="44">
        <v>0</v>
      </c>
      <c r="F138" s="44">
        <v>0</v>
      </c>
      <c r="G138" s="44">
        <v>0</v>
      </c>
      <c r="H138" s="46">
        <v>0.6</v>
      </c>
      <c r="I138" s="44">
        <f>INT(J138*H138/100)*100</f>
        <v>4300</v>
      </c>
      <c r="J138" s="44">
        <v>7200</v>
      </c>
      <c r="K138" s="44">
        <v>11.11111111111111</v>
      </c>
      <c r="L138" s="44">
        <v>4</v>
      </c>
      <c r="M138" s="44">
        <f t="shared" si="9"/>
        <v>7.111111111111111</v>
      </c>
      <c r="N138" s="44">
        <f t="shared" si="10"/>
        <v>387</v>
      </c>
      <c r="O138" s="44">
        <f t="shared" si="11"/>
        <v>2752</v>
      </c>
      <c r="Q138" s="44" t="s">
        <v>16</v>
      </c>
    </row>
    <row r="139" spans="1:17" ht="12.75">
      <c r="A139" s="45" t="s">
        <v>549</v>
      </c>
      <c r="B139" s="44" t="s">
        <v>119</v>
      </c>
      <c r="C139" s="44" t="s">
        <v>120</v>
      </c>
      <c r="D139" s="44" t="s">
        <v>121</v>
      </c>
      <c r="E139" s="44">
        <v>0</v>
      </c>
      <c r="F139" s="44">
        <v>1983</v>
      </c>
      <c r="G139" s="44">
        <v>1983</v>
      </c>
      <c r="H139" s="46">
        <f>VLOOKUP(G139,coefficienti!A$1:C$36,2)</f>
        <v>0.3756967512806928</v>
      </c>
      <c r="I139" s="44">
        <f>INT(J139*H139/100)*100</f>
        <v>3200</v>
      </c>
      <c r="J139" s="44">
        <v>8700</v>
      </c>
      <c r="K139" s="44">
        <v>8</v>
      </c>
      <c r="L139" s="44">
        <v>17</v>
      </c>
      <c r="M139" s="44">
        <f t="shared" si="9"/>
        <v>0</v>
      </c>
      <c r="N139" s="44">
        <f t="shared" si="10"/>
        <v>0</v>
      </c>
      <c r="O139" s="44">
        <f t="shared" si="11"/>
        <v>0</v>
      </c>
      <c r="Q139" s="44" t="s">
        <v>16</v>
      </c>
    </row>
    <row r="140" spans="1:17" ht="12.75">
      <c r="A140" s="45" t="s">
        <v>549</v>
      </c>
      <c r="B140" s="44" t="s">
        <v>122</v>
      </c>
      <c r="C140" s="44" t="s">
        <v>120</v>
      </c>
      <c r="D140" s="44" t="s">
        <v>121</v>
      </c>
      <c r="E140" s="44">
        <v>0</v>
      </c>
      <c r="F140" s="44">
        <v>1988</v>
      </c>
      <c r="G140" s="44">
        <v>1988</v>
      </c>
      <c r="H140" s="46">
        <f>VLOOKUP(G140,coefficienti!A$1:C$36,2)</f>
        <v>0.5925029864366423</v>
      </c>
      <c r="I140" s="44">
        <f>INT(J140*H140/100)*100</f>
        <v>5100</v>
      </c>
      <c r="J140" s="44">
        <v>8700</v>
      </c>
      <c r="K140" s="44">
        <v>8</v>
      </c>
      <c r="L140" s="44">
        <v>12</v>
      </c>
      <c r="M140" s="44">
        <f t="shared" si="9"/>
        <v>0</v>
      </c>
      <c r="N140" s="44">
        <f t="shared" si="10"/>
        <v>0</v>
      </c>
      <c r="O140" s="44">
        <f t="shared" si="11"/>
        <v>0</v>
      </c>
      <c r="Q140" s="44" t="s">
        <v>16</v>
      </c>
    </row>
    <row r="141" spans="1:17" ht="12.75">
      <c r="A141" s="45" t="s">
        <v>549</v>
      </c>
      <c r="B141" s="44" t="s">
        <v>39</v>
      </c>
      <c r="C141" s="44" t="s">
        <v>40</v>
      </c>
      <c r="D141" s="44" t="s">
        <v>123</v>
      </c>
      <c r="E141" s="44">
        <v>0</v>
      </c>
      <c r="F141" s="44">
        <v>1983</v>
      </c>
      <c r="G141" s="44">
        <v>1983</v>
      </c>
      <c r="H141" s="46">
        <f>VLOOKUP(G141,coefficienti!A$1:C$36,2)</f>
        <v>0.3756967512806928</v>
      </c>
      <c r="I141" s="44">
        <f>INT(J141*H141/100)*100</f>
        <v>3200</v>
      </c>
      <c r="J141" s="44">
        <v>8700</v>
      </c>
      <c r="K141" s="44">
        <v>11.11111111111111</v>
      </c>
      <c r="L141" s="44">
        <v>17</v>
      </c>
      <c r="M141" s="44">
        <f t="shared" si="9"/>
        <v>0</v>
      </c>
      <c r="N141" s="44">
        <f t="shared" si="10"/>
        <v>0</v>
      </c>
      <c r="O141" s="44">
        <f t="shared" si="11"/>
        <v>0</v>
      </c>
      <c r="Q141" s="44" t="s">
        <v>16</v>
      </c>
    </row>
    <row r="142" spans="3:15" ht="12.75">
      <c r="C142" s="44" t="s">
        <v>340</v>
      </c>
      <c r="I142" s="44">
        <f>SUM(I99:I141)</f>
        <v>314880</v>
      </c>
      <c r="J142" s="44">
        <f>SUM(J99:J141)</f>
        <v>445800</v>
      </c>
      <c r="N142" s="44">
        <f>SUM(N99:N141)</f>
        <v>23291.5</v>
      </c>
      <c r="O142" s="44">
        <f>SUM(O99:O141)</f>
        <v>103446</v>
      </c>
    </row>
    <row r="143" spans="3:14" ht="12.75">
      <c r="C143" s="44" t="s">
        <v>341</v>
      </c>
      <c r="I143" s="44">
        <f>+I142-SUM(I139:I141,I134:I137,I130,I124:I128,I117,I112,I108,I99)</f>
        <v>233700</v>
      </c>
      <c r="J143" s="44">
        <f>+J142-SUM(J139:J141,J134:J137,J130,J124:J128,J117,J112,J108,J99)</f>
        <v>287500</v>
      </c>
      <c r="N143" s="47">
        <f>+N142/I142</f>
        <v>0.0739694486788618</v>
      </c>
    </row>
    <row r="144" spans="3:15" ht="12.75">
      <c r="C144" s="44" t="s">
        <v>454</v>
      </c>
      <c r="I144" s="44">
        <f>+I143-O142</f>
        <v>130254</v>
      </c>
      <c r="J144" s="44">
        <f>+J143-O142</f>
        <v>184054</v>
      </c>
      <c r="N144" s="48">
        <f>+N142/I143</f>
        <v>0.09966409927257168</v>
      </c>
      <c r="O144" s="47"/>
    </row>
    <row r="145" spans="3:14" ht="12.75">
      <c r="C145" s="44" t="s">
        <v>550</v>
      </c>
      <c r="I145" s="44">
        <f>SUM(I122,I125:I140)</f>
        <v>81680</v>
      </c>
      <c r="J145" s="44">
        <f>SUM(J122,J125:J140)</f>
        <v>135900</v>
      </c>
      <c r="N145" s="44">
        <f>SUM(N111:N113,N122,N125:N140)</f>
        <v>6737.5</v>
      </c>
    </row>
    <row r="147" spans="1:15" ht="12.75">
      <c r="A147" s="44" t="s">
        <v>347</v>
      </c>
      <c r="O147" s="47"/>
    </row>
    <row r="148" spans="1:17" ht="12.75">
      <c r="A148" s="44" t="s">
        <v>1</v>
      </c>
      <c r="B148" s="44" t="s">
        <v>2</v>
      </c>
      <c r="C148" s="44" t="s">
        <v>3</v>
      </c>
      <c r="D148" s="44" t="s">
        <v>15</v>
      </c>
      <c r="E148" s="44" t="s">
        <v>4</v>
      </c>
      <c r="F148" s="44" t="s">
        <v>5</v>
      </c>
      <c r="G148" s="44" t="s">
        <v>6</v>
      </c>
      <c r="H148" s="44" t="s">
        <v>338</v>
      </c>
      <c r="I148" s="44" t="s">
        <v>339</v>
      </c>
      <c r="J148" s="44" t="s">
        <v>7</v>
      </c>
      <c r="K148" s="44" t="s">
        <v>9</v>
      </c>
      <c r="L148" s="44" t="s">
        <v>10</v>
      </c>
      <c r="M148" s="44" t="s">
        <v>8</v>
      </c>
      <c r="N148" s="44" t="s">
        <v>11</v>
      </c>
      <c r="O148" s="44" t="s">
        <v>12</v>
      </c>
      <c r="P148" s="44" t="s">
        <v>13</v>
      </c>
      <c r="Q148" s="44" t="s">
        <v>14</v>
      </c>
    </row>
    <row r="149" spans="1:17" ht="12.75">
      <c r="A149" s="45" t="s">
        <v>549</v>
      </c>
      <c r="B149" s="44" t="s">
        <v>17</v>
      </c>
      <c r="C149" s="44" t="s">
        <v>18</v>
      </c>
      <c r="D149" s="44" t="s">
        <v>80</v>
      </c>
      <c r="E149" s="44">
        <v>67</v>
      </c>
      <c r="F149" s="44">
        <v>1986</v>
      </c>
      <c r="G149" s="44">
        <v>1986</v>
      </c>
      <c r="H149" s="46">
        <f>VLOOKUP(G149,coefficienti!A$1:C$36,2)</f>
        <v>0.5396234168864108</v>
      </c>
      <c r="I149" s="44">
        <f>INT(J149*H149/100)*100</f>
        <v>15500</v>
      </c>
      <c r="J149" s="44">
        <v>28900</v>
      </c>
      <c r="K149" s="44">
        <v>22.22222222222222</v>
      </c>
      <c r="L149" s="44">
        <v>14</v>
      </c>
      <c r="M149" s="44">
        <f>IF(L149&gt;K149,0,K149-L149)</f>
        <v>8.222222222222221</v>
      </c>
      <c r="N149" s="44">
        <f>IF((L149&gt;K149),0,I149/K149)</f>
        <v>697.5</v>
      </c>
      <c r="O149" s="44">
        <f>+N149*M149</f>
        <v>5734.999999999999</v>
      </c>
      <c r="Q149" s="44" t="s">
        <v>16</v>
      </c>
    </row>
    <row r="150" spans="1:17" ht="12.75">
      <c r="A150" s="45" t="s">
        <v>549</v>
      </c>
      <c r="B150" s="44" t="s">
        <v>19</v>
      </c>
      <c r="C150" s="44" t="s">
        <v>18</v>
      </c>
      <c r="D150" s="44" t="s">
        <v>81</v>
      </c>
      <c r="E150" s="44">
        <v>100</v>
      </c>
      <c r="F150" s="44">
        <v>1993</v>
      </c>
      <c r="G150" s="44">
        <v>1991</v>
      </c>
      <c r="H150" s="46">
        <f>VLOOKUP(G150,coefficienti!A$1:C$36,2)</f>
        <v>0.6929741685820822</v>
      </c>
      <c r="I150" s="44">
        <f aca="true" t="shared" si="12" ref="I150:I185">INT(J150*H150/100)*100</f>
        <v>42600</v>
      </c>
      <c r="J150" s="44">
        <v>61500</v>
      </c>
      <c r="K150" s="44">
        <v>22.22222222222222</v>
      </c>
      <c r="L150" s="44">
        <v>9</v>
      </c>
      <c r="M150" s="44">
        <f aca="true" t="shared" si="13" ref="M150:M191">IF(L150&gt;K150,0,K150-L150)</f>
        <v>13.222222222222221</v>
      </c>
      <c r="N150" s="44">
        <f aca="true" t="shared" si="14" ref="N150:N191">IF((L150&gt;K150),0,I150/K150)</f>
        <v>1917</v>
      </c>
      <c r="O150" s="44">
        <f aca="true" t="shared" si="15" ref="O150:O191">+N150*M150</f>
        <v>25347</v>
      </c>
      <c r="Q150" s="44" t="s">
        <v>16</v>
      </c>
    </row>
    <row r="151" spans="1:17" ht="12.75">
      <c r="A151" s="45" t="s">
        <v>549</v>
      </c>
      <c r="B151" s="44" t="s">
        <v>55</v>
      </c>
      <c r="C151" s="44" t="s">
        <v>18</v>
      </c>
      <c r="D151" s="44" t="s">
        <v>81</v>
      </c>
      <c r="E151" s="44">
        <v>100</v>
      </c>
      <c r="F151" s="44">
        <v>1993</v>
      </c>
      <c r="G151" s="44">
        <v>1993</v>
      </c>
      <c r="H151" s="46">
        <f>VLOOKUP(G151,coefficienti!A$1:C$36,2)</f>
        <v>0.7876165113182424</v>
      </c>
      <c r="I151" s="44">
        <f t="shared" si="12"/>
        <v>48400</v>
      </c>
      <c r="J151" s="44">
        <v>61500</v>
      </c>
      <c r="K151" s="44">
        <v>22.22222222222222</v>
      </c>
      <c r="L151" s="44">
        <v>7</v>
      </c>
      <c r="M151" s="44">
        <f t="shared" si="13"/>
        <v>15.222222222222221</v>
      </c>
      <c r="N151" s="44">
        <f t="shared" si="14"/>
        <v>2178</v>
      </c>
      <c r="O151" s="44">
        <f t="shared" si="15"/>
        <v>33154</v>
      </c>
      <c r="Q151" s="44" t="s">
        <v>16</v>
      </c>
    </row>
    <row r="152" spans="1:17" ht="12.75">
      <c r="A152" s="45" t="s">
        <v>549</v>
      </c>
      <c r="B152" s="44" t="s">
        <v>20</v>
      </c>
      <c r="C152" s="44" t="s">
        <v>21</v>
      </c>
      <c r="D152" s="44" t="s">
        <v>82</v>
      </c>
      <c r="E152" s="44">
        <v>8</v>
      </c>
      <c r="F152" s="44">
        <v>1990</v>
      </c>
      <c r="G152" s="44">
        <v>1990</v>
      </c>
      <c r="H152" s="46">
        <f>VLOOKUP(G152,coefficienti!A$1:C$36,2)</f>
        <v>0.6657789613848203</v>
      </c>
      <c r="I152" s="44">
        <f t="shared" si="12"/>
        <v>1600</v>
      </c>
      <c r="J152" s="44">
        <v>2500</v>
      </c>
      <c r="K152" s="44">
        <v>22.22222222222222</v>
      </c>
      <c r="L152" s="44">
        <v>10</v>
      </c>
      <c r="M152" s="44">
        <f t="shared" si="13"/>
        <v>12.222222222222221</v>
      </c>
      <c r="N152" s="44">
        <f t="shared" si="14"/>
        <v>72</v>
      </c>
      <c r="O152" s="44">
        <f t="shared" si="15"/>
        <v>880</v>
      </c>
      <c r="Q152" s="44" t="s">
        <v>16</v>
      </c>
    </row>
    <row r="153" spans="1:17" ht="12.75">
      <c r="A153" s="45" t="s">
        <v>549</v>
      </c>
      <c r="B153" s="44" t="s">
        <v>41</v>
      </c>
      <c r="C153" s="44" t="s">
        <v>42</v>
      </c>
      <c r="E153" s="44">
        <v>0</v>
      </c>
      <c r="F153" s="44">
        <v>1992</v>
      </c>
      <c r="G153" s="44">
        <v>1992</v>
      </c>
      <c r="H153" s="46">
        <f>VLOOKUP(G153,coefficienti!A$1:C$36,2)</f>
        <v>0.741011984021305</v>
      </c>
      <c r="I153" s="44">
        <f t="shared" si="12"/>
        <v>1600</v>
      </c>
      <c r="J153" s="44">
        <v>2200</v>
      </c>
      <c r="K153" s="44">
        <v>22.22222222222222</v>
      </c>
      <c r="L153" s="44">
        <v>8</v>
      </c>
      <c r="M153" s="44">
        <f t="shared" si="13"/>
        <v>14.222222222222221</v>
      </c>
      <c r="N153" s="44">
        <f t="shared" si="14"/>
        <v>72</v>
      </c>
      <c r="O153" s="44">
        <f t="shared" si="15"/>
        <v>1024</v>
      </c>
      <c r="Q153" s="44" t="s">
        <v>16</v>
      </c>
    </row>
    <row r="154" spans="1:17" ht="12.75">
      <c r="A154" s="45" t="s">
        <v>549</v>
      </c>
      <c r="B154" s="44" t="s">
        <v>22</v>
      </c>
      <c r="C154" s="44" t="s">
        <v>23</v>
      </c>
      <c r="E154" s="44">
        <v>0</v>
      </c>
      <c r="F154" s="44">
        <v>1998</v>
      </c>
      <c r="G154" s="44">
        <v>1998</v>
      </c>
      <c r="H154" s="46">
        <f>VLOOKUP(G154,coefficienti!A$1:C$36,2)</f>
        <v>0.9880159786950733</v>
      </c>
      <c r="I154" s="44">
        <f t="shared" si="12"/>
        <v>6400</v>
      </c>
      <c r="J154" s="44">
        <v>6500</v>
      </c>
      <c r="K154" s="44">
        <v>22.22222222222222</v>
      </c>
      <c r="L154" s="44">
        <v>2</v>
      </c>
      <c r="M154" s="44">
        <f t="shared" si="13"/>
        <v>20.22222222222222</v>
      </c>
      <c r="N154" s="44">
        <f t="shared" si="14"/>
        <v>288</v>
      </c>
      <c r="O154" s="44">
        <f t="shared" si="15"/>
        <v>5824</v>
      </c>
      <c r="Q154" s="44" t="s">
        <v>16</v>
      </c>
    </row>
    <row r="155" spans="1:17" ht="12.75">
      <c r="A155" s="45" t="s">
        <v>549</v>
      </c>
      <c r="B155" s="44" t="s">
        <v>24</v>
      </c>
      <c r="C155" s="44" t="s">
        <v>25</v>
      </c>
      <c r="D155" s="44" t="s">
        <v>83</v>
      </c>
      <c r="E155" s="44">
        <v>0</v>
      </c>
      <c r="F155" s="44">
        <v>1999</v>
      </c>
      <c r="G155" s="44">
        <v>1999</v>
      </c>
      <c r="H155" s="46">
        <f>VLOOKUP(G155,coefficienti!A$1:C$36,2)</f>
        <v>0.9919551708832667</v>
      </c>
      <c r="I155" s="44">
        <f t="shared" si="12"/>
        <v>3900</v>
      </c>
      <c r="J155" s="44">
        <v>4000</v>
      </c>
      <c r="K155" s="44">
        <v>22.22222222222222</v>
      </c>
      <c r="L155" s="44">
        <v>1</v>
      </c>
      <c r="M155" s="44">
        <f t="shared" si="13"/>
        <v>21.22222222222222</v>
      </c>
      <c r="N155" s="44">
        <f t="shared" si="14"/>
        <v>175.5</v>
      </c>
      <c r="O155" s="44">
        <f t="shared" si="15"/>
        <v>3724.5</v>
      </c>
      <c r="Q155" s="44" t="s">
        <v>16</v>
      </c>
    </row>
    <row r="156" spans="1:17" ht="12.75">
      <c r="A156" s="45" t="s">
        <v>549</v>
      </c>
      <c r="B156" s="44" t="s">
        <v>77</v>
      </c>
      <c r="C156" s="44" t="s">
        <v>78</v>
      </c>
      <c r="D156" s="44" t="s">
        <v>84</v>
      </c>
      <c r="E156" s="44">
        <v>0</v>
      </c>
      <c r="F156" s="44">
        <v>1998</v>
      </c>
      <c r="G156" s="44">
        <v>1998</v>
      </c>
      <c r="H156" s="46">
        <f>VLOOKUP(G156,coefficienti!A$1:C$36,2)</f>
        <v>0.9880159786950733</v>
      </c>
      <c r="I156" s="44">
        <f t="shared" si="12"/>
        <v>2800</v>
      </c>
      <c r="J156" s="44">
        <v>2900</v>
      </c>
      <c r="K156" s="44">
        <v>22.22222222222222</v>
      </c>
      <c r="L156" s="44">
        <v>2</v>
      </c>
      <c r="M156" s="44">
        <f t="shared" si="13"/>
        <v>20.22222222222222</v>
      </c>
      <c r="N156" s="44">
        <f t="shared" si="14"/>
        <v>126</v>
      </c>
      <c r="O156" s="44">
        <f t="shared" si="15"/>
        <v>2548</v>
      </c>
      <c r="Q156" s="44" t="s">
        <v>16</v>
      </c>
    </row>
    <row r="157" spans="1:17" ht="12.75">
      <c r="A157" s="45" t="s">
        <v>549</v>
      </c>
      <c r="B157" s="44" t="s">
        <v>28</v>
      </c>
      <c r="C157" s="44" t="s">
        <v>29</v>
      </c>
      <c r="E157" s="44">
        <v>0</v>
      </c>
      <c r="F157" s="44">
        <v>1996</v>
      </c>
      <c r="G157" s="44">
        <v>1996</v>
      </c>
      <c r="H157" s="46">
        <f>VLOOKUP(G157,coefficienti!A$1:C$36,2)</f>
        <v>0.9420772303595207</v>
      </c>
      <c r="I157" s="44">
        <f t="shared" si="12"/>
        <v>1200</v>
      </c>
      <c r="J157" s="44">
        <v>1300</v>
      </c>
      <c r="K157" s="44">
        <v>22.22222222222222</v>
      </c>
      <c r="L157" s="44">
        <v>4</v>
      </c>
      <c r="M157" s="44">
        <f t="shared" si="13"/>
        <v>18.22222222222222</v>
      </c>
      <c r="N157" s="44">
        <f t="shared" si="14"/>
        <v>54</v>
      </c>
      <c r="O157" s="44">
        <f t="shared" si="15"/>
        <v>984</v>
      </c>
      <c r="Q157" s="44" t="s">
        <v>16</v>
      </c>
    </row>
    <row r="158" spans="1:17" ht="12.75">
      <c r="A158" s="45" t="s">
        <v>549</v>
      </c>
      <c r="B158" s="44" t="s">
        <v>43</v>
      </c>
      <c r="C158" s="44" t="s">
        <v>30</v>
      </c>
      <c r="E158" s="44">
        <v>0</v>
      </c>
      <c r="F158" s="44">
        <v>1985</v>
      </c>
      <c r="G158" s="44">
        <v>1985</v>
      </c>
      <c r="H158" s="46">
        <f>VLOOKUP(G158,coefficienti!A$1:C$36,2)</f>
        <v>0.5046221779936384</v>
      </c>
      <c r="I158" s="44">
        <f t="shared" si="12"/>
        <v>2500</v>
      </c>
      <c r="J158" s="44">
        <v>5100</v>
      </c>
      <c r="K158" s="44">
        <v>22.22222222222222</v>
      </c>
      <c r="L158" s="44">
        <v>15</v>
      </c>
      <c r="M158" s="44">
        <f t="shared" si="13"/>
        <v>7.222222222222221</v>
      </c>
      <c r="N158" s="44">
        <f t="shared" si="14"/>
        <v>112.5</v>
      </c>
      <c r="O158" s="44">
        <f t="shared" si="15"/>
        <v>812.4999999999999</v>
      </c>
      <c r="Q158" s="44" t="s">
        <v>16</v>
      </c>
    </row>
    <row r="159" spans="1:17" ht="12.75">
      <c r="A159" s="45" t="s">
        <v>549</v>
      </c>
      <c r="B159" s="44" t="s">
        <v>68</v>
      </c>
      <c r="C159" s="44" t="s">
        <v>67</v>
      </c>
      <c r="D159" s="44" t="s">
        <v>85</v>
      </c>
      <c r="E159" s="44">
        <v>0</v>
      </c>
      <c r="F159" s="44">
        <v>1990</v>
      </c>
      <c r="G159" s="44">
        <v>1990</v>
      </c>
      <c r="H159" s="46">
        <f>VLOOKUP(G159,coefficienti!A$1:C$36,2)</f>
        <v>0.6657789613848203</v>
      </c>
      <c r="I159" s="44">
        <f t="shared" si="12"/>
        <v>3800</v>
      </c>
      <c r="J159" s="44">
        <v>5800</v>
      </c>
      <c r="K159" s="44">
        <v>22.22222222222222</v>
      </c>
      <c r="L159" s="44">
        <v>10</v>
      </c>
      <c r="M159" s="44">
        <f t="shared" si="13"/>
        <v>12.222222222222221</v>
      </c>
      <c r="N159" s="44">
        <f t="shared" si="14"/>
        <v>171</v>
      </c>
      <c r="O159" s="44">
        <f t="shared" si="15"/>
        <v>2090</v>
      </c>
      <c r="Q159" s="44" t="s">
        <v>16</v>
      </c>
    </row>
    <row r="160" spans="1:17" ht="12.75">
      <c r="A160" s="45" t="s">
        <v>549</v>
      </c>
      <c r="B160" s="44" t="s">
        <v>69</v>
      </c>
      <c r="C160" s="44" t="s">
        <v>67</v>
      </c>
      <c r="D160" s="44" t="s">
        <v>86</v>
      </c>
      <c r="E160" s="44">
        <v>0</v>
      </c>
      <c r="F160" s="44">
        <v>1995</v>
      </c>
      <c r="G160" s="44">
        <v>1995</v>
      </c>
      <c r="H160" s="46">
        <f>VLOOKUP(G160,coefficienti!A$1:C$36,2)</f>
        <v>0.8794940079893475</v>
      </c>
      <c r="I160" s="44">
        <f t="shared" si="12"/>
        <v>5100</v>
      </c>
      <c r="J160" s="44">
        <v>5800</v>
      </c>
      <c r="K160" s="44">
        <v>22.22222222222222</v>
      </c>
      <c r="L160" s="44">
        <v>5</v>
      </c>
      <c r="M160" s="44">
        <f t="shared" si="13"/>
        <v>17.22222222222222</v>
      </c>
      <c r="N160" s="44">
        <f t="shared" si="14"/>
        <v>229.5</v>
      </c>
      <c r="O160" s="44">
        <f t="shared" si="15"/>
        <v>3952.5</v>
      </c>
      <c r="Q160" s="44" t="s">
        <v>16</v>
      </c>
    </row>
    <row r="161" spans="1:17" ht="12.75">
      <c r="A161" s="45" t="s">
        <v>549</v>
      </c>
      <c r="B161" s="44" t="s">
        <v>31</v>
      </c>
      <c r="C161" s="44" t="s">
        <v>32</v>
      </c>
      <c r="D161" s="44" t="s">
        <v>87</v>
      </c>
      <c r="E161" s="44">
        <v>0</v>
      </c>
      <c r="F161" s="44">
        <v>1996</v>
      </c>
      <c r="G161" s="44">
        <v>1996</v>
      </c>
      <c r="H161" s="46">
        <f>VLOOKUP(G161,coefficienti!A$1:C$36,2)</f>
        <v>0.9420772303595207</v>
      </c>
      <c r="I161" s="44">
        <f t="shared" si="12"/>
        <v>9800</v>
      </c>
      <c r="J161" s="44">
        <v>10500</v>
      </c>
      <c r="K161" s="44">
        <v>16</v>
      </c>
      <c r="L161" s="44">
        <v>4</v>
      </c>
      <c r="M161" s="44">
        <f t="shared" si="13"/>
        <v>12</v>
      </c>
      <c r="N161" s="44">
        <f t="shared" si="14"/>
        <v>612.5</v>
      </c>
      <c r="O161" s="44">
        <f t="shared" si="15"/>
        <v>7350</v>
      </c>
      <c r="Q161" s="44" t="s">
        <v>16</v>
      </c>
    </row>
    <row r="162" spans="1:17" ht="12.75">
      <c r="A162" s="45" t="s">
        <v>549</v>
      </c>
      <c r="B162" s="44" t="s">
        <v>88</v>
      </c>
      <c r="C162" s="44" t="s">
        <v>57</v>
      </c>
      <c r="E162" s="44">
        <v>0</v>
      </c>
      <c r="F162" s="44">
        <v>1990</v>
      </c>
      <c r="G162" s="44">
        <v>1990</v>
      </c>
      <c r="H162" s="46">
        <f>VLOOKUP(G162,coefficienti!A$1:C$36,2)</f>
        <v>0.6657789613848203</v>
      </c>
      <c r="I162" s="44">
        <f t="shared" si="12"/>
        <v>6100</v>
      </c>
      <c r="J162" s="44">
        <v>9300</v>
      </c>
      <c r="K162" s="44">
        <v>16</v>
      </c>
      <c r="L162" s="44">
        <v>10</v>
      </c>
      <c r="M162" s="44">
        <f t="shared" si="13"/>
        <v>6</v>
      </c>
      <c r="N162" s="44">
        <f t="shared" si="14"/>
        <v>381.25</v>
      </c>
      <c r="O162" s="44">
        <f t="shared" si="15"/>
        <v>2287.5</v>
      </c>
      <c r="Q162" s="44" t="s">
        <v>16</v>
      </c>
    </row>
    <row r="163" spans="1:17" ht="12.75">
      <c r="A163" s="45" t="s">
        <v>549</v>
      </c>
      <c r="B163" s="44" t="s">
        <v>44</v>
      </c>
      <c r="C163" s="44" t="s">
        <v>45</v>
      </c>
      <c r="D163" s="44" t="s">
        <v>89</v>
      </c>
      <c r="E163" s="44">
        <v>0</v>
      </c>
      <c r="F163" s="44">
        <v>1995</v>
      </c>
      <c r="G163" s="44">
        <v>1995</v>
      </c>
      <c r="H163" s="46">
        <f>VLOOKUP(G163,coefficienti!A$1:C$36,2)</f>
        <v>0.8794940079893475</v>
      </c>
      <c r="I163" s="44">
        <f t="shared" si="12"/>
        <v>2100</v>
      </c>
      <c r="J163" s="44">
        <v>2500</v>
      </c>
      <c r="K163" s="44">
        <v>22.22222222222222</v>
      </c>
      <c r="L163" s="44">
        <v>5</v>
      </c>
      <c r="M163" s="44">
        <f t="shared" si="13"/>
        <v>17.22222222222222</v>
      </c>
      <c r="N163" s="44">
        <f t="shared" si="14"/>
        <v>94.5</v>
      </c>
      <c r="O163" s="44">
        <f t="shared" si="15"/>
        <v>1627.5</v>
      </c>
      <c r="Q163" s="44" t="s">
        <v>16</v>
      </c>
    </row>
    <row r="164" spans="1:17" ht="12.75">
      <c r="A164" s="45" t="s">
        <v>549</v>
      </c>
      <c r="B164" s="44" t="s">
        <v>90</v>
      </c>
      <c r="C164" s="44" t="s">
        <v>46</v>
      </c>
      <c r="D164" s="44" t="s">
        <v>91</v>
      </c>
      <c r="E164" s="44">
        <v>0</v>
      </c>
      <c r="F164" s="44">
        <v>1994</v>
      </c>
      <c r="G164" s="44">
        <v>1994</v>
      </c>
      <c r="H164" s="46">
        <f>VLOOKUP(G164,coefficienti!A$1:C$36,2)</f>
        <v>0.8169107856191745</v>
      </c>
      <c r="I164" s="44">
        <f t="shared" si="12"/>
        <v>6600</v>
      </c>
      <c r="J164" s="44">
        <v>8200</v>
      </c>
      <c r="K164" s="44">
        <v>22.22222222222222</v>
      </c>
      <c r="L164" s="44">
        <v>6</v>
      </c>
      <c r="M164" s="44">
        <f t="shared" si="13"/>
        <v>16.22222222222222</v>
      </c>
      <c r="N164" s="44">
        <f t="shared" si="14"/>
        <v>297</v>
      </c>
      <c r="O164" s="44">
        <f t="shared" si="15"/>
        <v>4818</v>
      </c>
      <c r="Q164" s="44" t="s">
        <v>16</v>
      </c>
    </row>
    <row r="165" spans="1:17" ht="12.75">
      <c r="A165" s="45" t="s">
        <v>549</v>
      </c>
      <c r="B165" s="44" t="s">
        <v>92</v>
      </c>
      <c r="C165" s="44" t="s">
        <v>46</v>
      </c>
      <c r="D165" s="44" t="s">
        <v>93</v>
      </c>
      <c r="E165" s="44">
        <v>0</v>
      </c>
      <c r="F165" s="44">
        <v>1994</v>
      </c>
      <c r="G165" s="44">
        <v>1994</v>
      </c>
      <c r="H165" s="46">
        <f>VLOOKUP(G165,coefficienti!A$1:C$36,2)</f>
        <v>0.8169107856191745</v>
      </c>
      <c r="I165" s="44">
        <f t="shared" si="12"/>
        <v>6600</v>
      </c>
      <c r="J165" s="44">
        <v>8200</v>
      </c>
      <c r="K165" s="44">
        <v>22.22222222222222</v>
      </c>
      <c r="L165" s="44">
        <v>6</v>
      </c>
      <c r="M165" s="44">
        <f t="shared" si="13"/>
        <v>16.22222222222222</v>
      </c>
      <c r="N165" s="44">
        <f t="shared" si="14"/>
        <v>297</v>
      </c>
      <c r="O165" s="44">
        <f t="shared" si="15"/>
        <v>4818</v>
      </c>
      <c r="Q165" s="44" t="s">
        <v>16</v>
      </c>
    </row>
    <row r="166" spans="1:17" ht="12.75">
      <c r="A166" s="45" t="s">
        <v>549</v>
      </c>
      <c r="B166" s="44" t="s">
        <v>94</v>
      </c>
      <c r="C166" s="44" t="s">
        <v>46</v>
      </c>
      <c r="E166" s="44">
        <v>0</v>
      </c>
      <c r="F166" s="44">
        <v>1999</v>
      </c>
      <c r="G166" s="44">
        <v>1993</v>
      </c>
      <c r="H166" s="46">
        <f>VLOOKUP(G166,coefficienti!A$1:C$36,2)</f>
        <v>0.7876165113182424</v>
      </c>
      <c r="I166" s="44">
        <f t="shared" si="12"/>
        <v>6400</v>
      </c>
      <c r="J166" s="44">
        <v>8200</v>
      </c>
      <c r="K166" s="44">
        <v>22.22222222222222</v>
      </c>
      <c r="L166" s="44">
        <v>7</v>
      </c>
      <c r="M166" s="44">
        <f t="shared" si="13"/>
        <v>15.222222222222221</v>
      </c>
      <c r="N166" s="44">
        <f t="shared" si="14"/>
        <v>288</v>
      </c>
      <c r="O166" s="44">
        <f t="shared" si="15"/>
        <v>4384</v>
      </c>
      <c r="Q166" s="44" t="s">
        <v>16</v>
      </c>
    </row>
    <row r="167" spans="1:17" ht="12.75">
      <c r="A167" s="45" t="s">
        <v>549</v>
      </c>
      <c r="B167" s="44" t="s">
        <v>33</v>
      </c>
      <c r="C167" s="44" t="s">
        <v>34</v>
      </c>
      <c r="D167" s="44" t="s">
        <v>95</v>
      </c>
      <c r="E167" s="44">
        <v>0</v>
      </c>
      <c r="F167" s="44">
        <v>1992</v>
      </c>
      <c r="G167" s="44">
        <v>1992</v>
      </c>
      <c r="H167" s="46">
        <f>VLOOKUP(G167,coefficienti!A$1:C$36,2)</f>
        <v>0.741011984021305</v>
      </c>
      <c r="I167" s="44">
        <f t="shared" si="12"/>
        <v>4200</v>
      </c>
      <c r="J167" s="44">
        <v>5800</v>
      </c>
      <c r="K167" s="44">
        <v>16</v>
      </c>
      <c r="L167" s="44">
        <v>8</v>
      </c>
      <c r="M167" s="44">
        <f t="shared" si="13"/>
        <v>8</v>
      </c>
      <c r="N167" s="44">
        <f t="shared" si="14"/>
        <v>262.5</v>
      </c>
      <c r="O167" s="44">
        <f t="shared" si="15"/>
        <v>2100</v>
      </c>
      <c r="Q167" s="44" t="s">
        <v>16</v>
      </c>
    </row>
    <row r="168" spans="1:17" ht="12.75">
      <c r="A168" s="45" t="s">
        <v>549</v>
      </c>
      <c r="B168" s="44" t="s">
        <v>96</v>
      </c>
      <c r="C168" s="44" t="s">
        <v>97</v>
      </c>
      <c r="E168" s="44">
        <v>0</v>
      </c>
      <c r="F168" s="44">
        <v>1997</v>
      </c>
      <c r="G168" s="44">
        <v>1997</v>
      </c>
      <c r="H168" s="46">
        <f>VLOOKUP(G168,coefficienti!A$1:C$36,2)</f>
        <v>0.9733688415446072</v>
      </c>
      <c r="I168" s="44">
        <f t="shared" si="12"/>
        <v>12600</v>
      </c>
      <c r="J168" s="44">
        <v>13000</v>
      </c>
      <c r="K168" s="44">
        <v>22.22222222222222</v>
      </c>
      <c r="L168" s="44">
        <v>3</v>
      </c>
      <c r="M168" s="44">
        <f t="shared" si="13"/>
        <v>19.22222222222222</v>
      </c>
      <c r="N168" s="44">
        <f t="shared" si="14"/>
        <v>567</v>
      </c>
      <c r="O168" s="44">
        <f t="shared" si="15"/>
        <v>10899</v>
      </c>
      <c r="Q168" s="44" t="s">
        <v>16</v>
      </c>
    </row>
    <row r="169" spans="1:17" ht="12.75">
      <c r="A169" s="45" t="s">
        <v>549</v>
      </c>
      <c r="B169" s="44" t="s">
        <v>50</v>
      </c>
      <c r="C169" s="44" t="s">
        <v>51</v>
      </c>
      <c r="D169" s="44" t="s">
        <v>98</v>
      </c>
      <c r="E169" s="44">
        <v>0</v>
      </c>
      <c r="F169" s="44">
        <v>1998</v>
      </c>
      <c r="G169" s="44">
        <v>1998</v>
      </c>
      <c r="H169" s="46">
        <f>VLOOKUP(G169,coefficienti!A$1:C$36,2)</f>
        <v>0.9880159786950733</v>
      </c>
      <c r="I169" s="44">
        <f t="shared" si="12"/>
        <v>16800</v>
      </c>
      <c r="J169" s="44">
        <v>17100</v>
      </c>
      <c r="K169" s="44">
        <v>22.22222222222222</v>
      </c>
      <c r="L169" s="44">
        <v>2</v>
      </c>
      <c r="M169" s="44">
        <f t="shared" si="13"/>
        <v>20.22222222222222</v>
      </c>
      <c r="N169" s="44">
        <f t="shared" si="14"/>
        <v>756</v>
      </c>
      <c r="O169" s="44">
        <f t="shared" si="15"/>
        <v>15288</v>
      </c>
      <c r="Q169" s="44" t="s">
        <v>16</v>
      </c>
    </row>
    <row r="170" spans="1:17" ht="12.75">
      <c r="A170" s="45" t="s">
        <v>549</v>
      </c>
      <c r="B170" s="44" t="s">
        <v>47</v>
      </c>
      <c r="C170" s="44" t="s">
        <v>48</v>
      </c>
      <c r="E170" s="44">
        <v>0</v>
      </c>
      <c r="F170" s="44">
        <v>1995</v>
      </c>
      <c r="G170" s="44">
        <v>1995</v>
      </c>
      <c r="H170" s="46">
        <f>VLOOKUP(G170,coefficienti!A$1:C$36,2)</f>
        <v>0.8794940079893475</v>
      </c>
      <c r="I170" s="44">
        <f t="shared" si="12"/>
        <v>4100</v>
      </c>
      <c r="J170" s="44">
        <v>4700</v>
      </c>
      <c r="K170" s="44">
        <v>22.22222222222222</v>
      </c>
      <c r="L170" s="44">
        <v>5</v>
      </c>
      <c r="M170" s="44">
        <f t="shared" si="13"/>
        <v>17.22222222222222</v>
      </c>
      <c r="N170" s="44">
        <f t="shared" si="14"/>
        <v>184.5</v>
      </c>
      <c r="O170" s="44">
        <f t="shared" si="15"/>
        <v>3177.5</v>
      </c>
      <c r="Q170" s="44" t="s">
        <v>16</v>
      </c>
    </row>
    <row r="171" spans="1:17" ht="12.75">
      <c r="A171" s="45" t="s">
        <v>549</v>
      </c>
      <c r="B171" s="44" t="s">
        <v>35</v>
      </c>
      <c r="C171" s="44" t="s">
        <v>36</v>
      </c>
      <c r="D171" s="44" t="s">
        <v>70</v>
      </c>
      <c r="E171" s="44">
        <v>0</v>
      </c>
      <c r="F171" s="44">
        <v>1992</v>
      </c>
      <c r="G171" s="44">
        <v>1992</v>
      </c>
      <c r="H171" s="46">
        <f>VLOOKUP(G171,coefficienti!A$1:C$36,2)</f>
        <v>0.741011984021305</v>
      </c>
      <c r="I171" s="44">
        <f t="shared" si="12"/>
        <v>2400</v>
      </c>
      <c r="J171" s="44">
        <v>3300</v>
      </c>
      <c r="K171" s="44">
        <v>22.22222222222222</v>
      </c>
      <c r="L171" s="44">
        <v>8</v>
      </c>
      <c r="M171" s="44">
        <f t="shared" si="13"/>
        <v>14.222222222222221</v>
      </c>
      <c r="N171" s="44">
        <f t="shared" si="14"/>
        <v>108</v>
      </c>
      <c r="O171" s="44">
        <f t="shared" si="15"/>
        <v>1536</v>
      </c>
      <c r="Q171" s="44" t="s">
        <v>16</v>
      </c>
    </row>
    <row r="172" spans="1:17" ht="12.75">
      <c r="A172" s="45" t="s">
        <v>549</v>
      </c>
      <c r="B172" s="44" t="s">
        <v>71</v>
      </c>
      <c r="C172" s="44" t="s">
        <v>72</v>
      </c>
      <c r="E172" s="44">
        <v>0</v>
      </c>
      <c r="F172" s="44">
        <v>1995</v>
      </c>
      <c r="G172" s="44">
        <v>1995</v>
      </c>
      <c r="H172" s="46">
        <f>VLOOKUP(G172,coefficienti!A$1:C$36,2)</f>
        <v>0.8794940079893475</v>
      </c>
      <c r="I172" s="44">
        <f t="shared" si="12"/>
        <v>28500</v>
      </c>
      <c r="J172" s="44">
        <v>32500</v>
      </c>
      <c r="K172" s="44">
        <v>16</v>
      </c>
      <c r="L172" s="44">
        <v>5</v>
      </c>
      <c r="M172" s="44">
        <f t="shared" si="13"/>
        <v>11</v>
      </c>
      <c r="N172" s="44">
        <f t="shared" si="14"/>
        <v>1781.25</v>
      </c>
      <c r="O172" s="44">
        <f t="shared" si="15"/>
        <v>19593.75</v>
      </c>
      <c r="Q172" s="44" t="s">
        <v>16</v>
      </c>
    </row>
    <row r="173" spans="1:17" ht="12.75">
      <c r="A173" s="45" t="s">
        <v>549</v>
      </c>
      <c r="B173" s="44" t="s">
        <v>58</v>
      </c>
      <c r="C173" s="44" t="s">
        <v>49</v>
      </c>
      <c r="E173" s="44">
        <v>0</v>
      </c>
      <c r="F173" s="44">
        <v>1997</v>
      </c>
      <c r="G173" s="44">
        <v>1997</v>
      </c>
      <c r="H173" s="46">
        <f>VLOOKUP(G173,coefficienti!A$1:C$36,2)</f>
        <v>0.9733688415446072</v>
      </c>
      <c r="I173" s="44">
        <f t="shared" si="12"/>
        <v>5200</v>
      </c>
      <c r="J173" s="44">
        <v>5400</v>
      </c>
      <c r="K173" s="44">
        <v>22.22222222222222</v>
      </c>
      <c r="L173" s="44">
        <v>3</v>
      </c>
      <c r="M173" s="44">
        <f t="shared" si="13"/>
        <v>19.22222222222222</v>
      </c>
      <c r="N173" s="44">
        <f t="shared" si="14"/>
        <v>234</v>
      </c>
      <c r="O173" s="44">
        <f t="shared" si="15"/>
        <v>4498</v>
      </c>
      <c r="Q173" s="44" t="s">
        <v>16</v>
      </c>
    </row>
    <row r="174" spans="1:17" ht="12.75">
      <c r="A174" s="45" t="s">
        <v>549</v>
      </c>
      <c r="B174" s="44" t="s">
        <v>59</v>
      </c>
      <c r="C174" s="44" t="s">
        <v>60</v>
      </c>
      <c r="E174" s="44">
        <v>0</v>
      </c>
      <c r="F174" s="44">
        <v>1991</v>
      </c>
      <c r="G174" s="44">
        <v>1991</v>
      </c>
      <c r="H174" s="46">
        <f>VLOOKUP(G174,coefficienti!A$1:C$36,2)</f>
        <v>0.6929741685820822</v>
      </c>
      <c r="I174" s="44">
        <f t="shared" si="12"/>
        <v>11700</v>
      </c>
      <c r="J174" s="44">
        <v>17000</v>
      </c>
      <c r="K174" s="44">
        <v>16</v>
      </c>
      <c r="L174" s="44">
        <v>9</v>
      </c>
      <c r="M174" s="44">
        <f t="shared" si="13"/>
        <v>7</v>
      </c>
      <c r="N174" s="44">
        <f t="shared" si="14"/>
        <v>731.25</v>
      </c>
      <c r="O174" s="44">
        <f t="shared" si="15"/>
        <v>5118.75</v>
      </c>
      <c r="Q174" s="44" t="s">
        <v>16</v>
      </c>
    </row>
    <row r="175" spans="1:17" ht="12.75">
      <c r="A175" s="45" t="s">
        <v>549</v>
      </c>
      <c r="B175" s="44" t="s">
        <v>61</v>
      </c>
      <c r="C175" s="44" t="s">
        <v>62</v>
      </c>
      <c r="D175" s="44" t="s">
        <v>99</v>
      </c>
      <c r="E175" s="44">
        <v>0</v>
      </c>
      <c r="F175" s="44">
        <v>1983</v>
      </c>
      <c r="G175" s="44">
        <v>1983</v>
      </c>
      <c r="H175" s="46">
        <f>VLOOKUP(G175,coefficienti!A$1:C$36,2)</f>
        <v>0.3756967512806928</v>
      </c>
      <c r="I175" s="44">
        <f t="shared" si="12"/>
        <v>3200</v>
      </c>
      <c r="J175" s="44">
        <v>8700</v>
      </c>
      <c r="K175" s="44">
        <v>16</v>
      </c>
      <c r="L175" s="44">
        <v>17</v>
      </c>
      <c r="M175" s="44">
        <f t="shared" si="13"/>
        <v>0</v>
      </c>
      <c r="N175" s="44">
        <f t="shared" si="14"/>
        <v>0</v>
      </c>
      <c r="O175" s="44">
        <f t="shared" si="15"/>
        <v>0</v>
      </c>
      <c r="Q175" s="44" t="s">
        <v>16</v>
      </c>
    </row>
    <row r="176" spans="1:17" ht="12.75">
      <c r="A176" s="45" t="s">
        <v>549</v>
      </c>
      <c r="B176" s="44" t="s">
        <v>63</v>
      </c>
      <c r="C176" s="44" t="s">
        <v>64</v>
      </c>
      <c r="D176" s="44" t="s">
        <v>100</v>
      </c>
      <c r="E176" s="44">
        <v>0</v>
      </c>
      <c r="F176" s="44">
        <v>1991</v>
      </c>
      <c r="G176" s="44">
        <v>1991</v>
      </c>
      <c r="H176" s="46">
        <f>VLOOKUP(G176,coefficienti!A$1:C$36,2)</f>
        <v>0.6929741685820822</v>
      </c>
      <c r="I176" s="44">
        <f t="shared" si="12"/>
        <v>9000</v>
      </c>
      <c r="J176" s="44">
        <v>13000</v>
      </c>
      <c r="K176" s="44">
        <v>16</v>
      </c>
      <c r="L176" s="44">
        <v>9</v>
      </c>
      <c r="M176" s="44">
        <f t="shared" si="13"/>
        <v>7</v>
      </c>
      <c r="N176" s="44">
        <f t="shared" si="14"/>
        <v>562.5</v>
      </c>
      <c r="O176" s="44">
        <f t="shared" si="15"/>
        <v>3937.5</v>
      </c>
      <c r="Q176" s="44" t="s">
        <v>16</v>
      </c>
    </row>
    <row r="177" spans="1:17" ht="12.75">
      <c r="A177" s="45" t="s">
        <v>549</v>
      </c>
      <c r="B177" s="44" t="s">
        <v>101</v>
      </c>
      <c r="C177" s="44" t="s">
        <v>73</v>
      </c>
      <c r="D177" s="44" t="s">
        <v>102</v>
      </c>
      <c r="E177" s="44">
        <v>0</v>
      </c>
      <c r="F177" s="44">
        <v>1983</v>
      </c>
      <c r="G177" s="44">
        <v>1983</v>
      </c>
      <c r="H177" s="46">
        <f>VLOOKUP(G177,coefficienti!A$1:C$36,2)</f>
        <v>0.3756967512806928</v>
      </c>
      <c r="I177" s="44">
        <f t="shared" si="12"/>
        <v>1700</v>
      </c>
      <c r="J177" s="44">
        <v>4700</v>
      </c>
      <c r="K177" s="44">
        <v>16</v>
      </c>
      <c r="L177" s="44">
        <v>17</v>
      </c>
      <c r="M177" s="44">
        <f t="shared" si="13"/>
        <v>0</v>
      </c>
      <c r="N177" s="44">
        <f t="shared" si="14"/>
        <v>0</v>
      </c>
      <c r="O177" s="44">
        <f t="shared" si="15"/>
        <v>0</v>
      </c>
      <c r="Q177" s="44" t="s">
        <v>16</v>
      </c>
    </row>
    <row r="178" spans="1:17" ht="12.75">
      <c r="A178" s="45" t="s">
        <v>549</v>
      </c>
      <c r="B178" s="44" t="s">
        <v>103</v>
      </c>
      <c r="C178" s="44" t="s">
        <v>73</v>
      </c>
      <c r="D178" s="44" t="s">
        <v>102</v>
      </c>
      <c r="E178" s="44">
        <v>0</v>
      </c>
      <c r="F178" s="44">
        <v>1988</v>
      </c>
      <c r="G178" s="44">
        <v>1988</v>
      </c>
      <c r="H178" s="46">
        <f>VLOOKUP(G178,coefficienti!A$1:C$36,2)</f>
        <v>0.5925029864366423</v>
      </c>
      <c r="I178" s="44">
        <f t="shared" si="12"/>
        <v>2700</v>
      </c>
      <c r="J178" s="44">
        <v>4700</v>
      </c>
      <c r="K178" s="44">
        <v>16</v>
      </c>
      <c r="L178" s="44">
        <v>12</v>
      </c>
      <c r="M178" s="44">
        <f t="shared" si="13"/>
        <v>4</v>
      </c>
      <c r="N178" s="44">
        <f t="shared" si="14"/>
        <v>168.75</v>
      </c>
      <c r="O178" s="44">
        <f t="shared" si="15"/>
        <v>675</v>
      </c>
      <c r="Q178" s="44" t="s">
        <v>16</v>
      </c>
    </row>
    <row r="179" spans="1:17" ht="12.75">
      <c r="A179" s="45" t="s">
        <v>549</v>
      </c>
      <c r="B179" s="44" t="s">
        <v>104</v>
      </c>
      <c r="C179" s="44" t="s">
        <v>73</v>
      </c>
      <c r="D179" s="44" t="s">
        <v>105</v>
      </c>
      <c r="E179" s="44">
        <v>0</v>
      </c>
      <c r="F179" s="44">
        <v>1995</v>
      </c>
      <c r="G179" s="44">
        <v>1995</v>
      </c>
      <c r="H179" s="46">
        <f>VLOOKUP(G179,coefficienti!A$1:C$36,2)</f>
        <v>0.8794940079893475</v>
      </c>
      <c r="I179" s="44">
        <f t="shared" si="12"/>
        <v>4100</v>
      </c>
      <c r="J179" s="44">
        <v>4700</v>
      </c>
      <c r="K179" s="44">
        <v>16</v>
      </c>
      <c r="L179" s="44">
        <v>5</v>
      </c>
      <c r="M179" s="44">
        <f t="shared" si="13"/>
        <v>11</v>
      </c>
      <c r="N179" s="44">
        <f t="shared" si="14"/>
        <v>256.25</v>
      </c>
      <c r="O179" s="44">
        <f t="shared" si="15"/>
        <v>2818.75</v>
      </c>
      <c r="Q179" s="44" t="s">
        <v>16</v>
      </c>
    </row>
    <row r="180" spans="1:17" ht="12.75">
      <c r="A180" s="45" t="s">
        <v>549</v>
      </c>
      <c r="B180" s="44" t="s">
        <v>65</v>
      </c>
      <c r="C180" s="44" t="s">
        <v>66</v>
      </c>
      <c r="D180" s="44" t="s">
        <v>106</v>
      </c>
      <c r="E180" s="44">
        <v>0</v>
      </c>
      <c r="F180" s="44">
        <v>1983</v>
      </c>
      <c r="G180" s="44">
        <v>1983</v>
      </c>
      <c r="H180" s="46">
        <f>VLOOKUP(G180,coefficienti!A$1:C$36,2)</f>
        <v>0.3756967512806928</v>
      </c>
      <c r="I180" s="44">
        <f t="shared" si="12"/>
        <v>9500</v>
      </c>
      <c r="J180" s="44">
        <v>25300</v>
      </c>
      <c r="K180" s="44">
        <v>16</v>
      </c>
      <c r="L180" s="44">
        <v>17</v>
      </c>
      <c r="M180" s="44">
        <f t="shared" si="13"/>
        <v>0</v>
      </c>
      <c r="N180" s="44">
        <f t="shared" si="14"/>
        <v>0</v>
      </c>
      <c r="O180" s="44">
        <f t="shared" si="15"/>
        <v>0</v>
      </c>
      <c r="Q180" s="44" t="s">
        <v>16</v>
      </c>
    </row>
    <row r="181" spans="1:17" ht="12.75">
      <c r="A181" s="45" t="s">
        <v>549</v>
      </c>
      <c r="B181" s="44" t="s">
        <v>74</v>
      </c>
      <c r="C181" s="44" t="s">
        <v>66</v>
      </c>
      <c r="D181" s="44" t="s">
        <v>107</v>
      </c>
      <c r="E181" s="44">
        <v>0</v>
      </c>
      <c r="F181" s="44">
        <v>1992</v>
      </c>
      <c r="G181" s="44">
        <v>1992</v>
      </c>
      <c r="H181" s="46">
        <f>VLOOKUP(G181,coefficienti!A$1:C$36,2)</f>
        <v>0.741011984021305</v>
      </c>
      <c r="I181" s="44">
        <f t="shared" si="12"/>
        <v>1700</v>
      </c>
      <c r="J181" s="44">
        <v>2300</v>
      </c>
      <c r="K181" s="44">
        <v>20</v>
      </c>
      <c r="L181" s="44">
        <v>8</v>
      </c>
      <c r="M181" s="44">
        <f t="shared" si="13"/>
        <v>12</v>
      </c>
      <c r="N181" s="44">
        <f t="shared" si="14"/>
        <v>85</v>
      </c>
      <c r="O181" s="44">
        <f t="shared" si="15"/>
        <v>1020</v>
      </c>
      <c r="Q181" s="44" t="s">
        <v>16</v>
      </c>
    </row>
    <row r="182" spans="1:17" ht="12.75">
      <c r="A182" s="45" t="s">
        <v>549</v>
      </c>
      <c r="B182" s="44" t="s">
        <v>75</v>
      </c>
      <c r="C182" s="44" t="s">
        <v>66</v>
      </c>
      <c r="D182" s="44" t="s">
        <v>108</v>
      </c>
      <c r="E182" s="44">
        <v>0</v>
      </c>
      <c r="F182" s="44">
        <v>1994</v>
      </c>
      <c r="G182" s="44">
        <v>1994</v>
      </c>
      <c r="H182" s="46">
        <f>VLOOKUP(G182,coefficienti!A$1:C$36,2)</f>
        <v>0.8169107856191745</v>
      </c>
      <c r="I182" s="44">
        <f t="shared" si="12"/>
        <v>1100</v>
      </c>
      <c r="J182" s="44">
        <v>1400</v>
      </c>
      <c r="K182" s="44">
        <v>16</v>
      </c>
      <c r="L182" s="44">
        <v>6</v>
      </c>
      <c r="M182" s="44">
        <f t="shared" si="13"/>
        <v>10</v>
      </c>
      <c r="N182" s="44">
        <f t="shared" si="14"/>
        <v>68.75</v>
      </c>
      <c r="O182" s="44">
        <f t="shared" si="15"/>
        <v>687.5</v>
      </c>
      <c r="Q182" s="44" t="s">
        <v>16</v>
      </c>
    </row>
    <row r="183" spans="1:17" ht="12.75">
      <c r="A183" s="45" t="s">
        <v>549</v>
      </c>
      <c r="B183" s="44" t="s">
        <v>109</v>
      </c>
      <c r="C183" s="44" t="s">
        <v>110</v>
      </c>
      <c r="D183" s="44" t="s">
        <v>111</v>
      </c>
      <c r="E183" s="44">
        <v>0</v>
      </c>
      <c r="F183" s="44">
        <v>1996</v>
      </c>
      <c r="G183" s="44">
        <v>1996</v>
      </c>
      <c r="H183" s="46">
        <f>VLOOKUP(G183,coefficienti!A$1:C$36,2)</f>
        <v>0.9420772303595207</v>
      </c>
      <c r="I183" s="44">
        <f t="shared" si="12"/>
        <v>4000</v>
      </c>
      <c r="J183" s="44">
        <v>4300</v>
      </c>
      <c r="K183" s="44">
        <v>16</v>
      </c>
      <c r="L183" s="44">
        <v>4</v>
      </c>
      <c r="M183" s="44">
        <f t="shared" si="13"/>
        <v>12</v>
      </c>
      <c r="N183" s="44">
        <f t="shared" si="14"/>
        <v>250</v>
      </c>
      <c r="O183" s="44">
        <f t="shared" si="15"/>
        <v>3000</v>
      </c>
      <c r="Q183" s="44" t="s">
        <v>16</v>
      </c>
    </row>
    <row r="184" spans="1:17" ht="12.75">
      <c r="A184" s="45" t="s">
        <v>549</v>
      </c>
      <c r="B184" s="44" t="s">
        <v>112</v>
      </c>
      <c r="C184" s="44" t="s">
        <v>110</v>
      </c>
      <c r="D184" s="44" t="s">
        <v>113</v>
      </c>
      <c r="E184" s="44">
        <v>0</v>
      </c>
      <c r="F184" s="44">
        <v>1983</v>
      </c>
      <c r="G184" s="44">
        <v>1983</v>
      </c>
      <c r="H184" s="46">
        <f>VLOOKUP(G184,coefficienti!A$1:C$36,2)</f>
        <v>0.3756967512806928</v>
      </c>
      <c r="I184" s="44">
        <f t="shared" si="12"/>
        <v>1600</v>
      </c>
      <c r="J184" s="44">
        <v>4300</v>
      </c>
      <c r="K184" s="44">
        <v>16</v>
      </c>
      <c r="L184" s="44">
        <v>17</v>
      </c>
      <c r="M184" s="44">
        <f t="shared" si="13"/>
        <v>0</v>
      </c>
      <c r="N184" s="44">
        <f t="shared" si="14"/>
        <v>0</v>
      </c>
      <c r="O184" s="44">
        <f t="shared" si="15"/>
        <v>0</v>
      </c>
      <c r="Q184" s="44" t="s">
        <v>16</v>
      </c>
    </row>
    <row r="185" spans="1:17" ht="12.75">
      <c r="A185" s="45" t="s">
        <v>549</v>
      </c>
      <c r="B185" s="44" t="s">
        <v>114</v>
      </c>
      <c r="C185" s="44" t="s">
        <v>115</v>
      </c>
      <c r="D185" s="44" t="s">
        <v>116</v>
      </c>
      <c r="E185" s="44">
        <v>0</v>
      </c>
      <c r="F185" s="44">
        <v>1983</v>
      </c>
      <c r="G185" s="44">
        <v>1983</v>
      </c>
      <c r="H185" s="46">
        <f>VLOOKUP(G185,coefficienti!A$1:C$36,2)</f>
        <v>0.3756967512806928</v>
      </c>
      <c r="I185" s="44">
        <f t="shared" si="12"/>
        <v>1300</v>
      </c>
      <c r="J185" s="44">
        <v>3600</v>
      </c>
      <c r="K185" s="44">
        <v>16</v>
      </c>
      <c r="L185" s="44">
        <v>17</v>
      </c>
      <c r="M185" s="44">
        <f t="shared" si="13"/>
        <v>0</v>
      </c>
      <c r="N185" s="44">
        <f t="shared" si="14"/>
        <v>0</v>
      </c>
      <c r="O185" s="44">
        <f t="shared" si="15"/>
        <v>0</v>
      </c>
      <c r="Q185" s="44" t="s">
        <v>16</v>
      </c>
    </row>
    <row r="186" spans="1:17" ht="12.75">
      <c r="A186" s="45" t="s">
        <v>549</v>
      </c>
      <c r="B186" s="44" t="s">
        <v>52</v>
      </c>
      <c r="C186" s="44" t="s">
        <v>53</v>
      </c>
      <c r="D186" s="44" t="s">
        <v>117</v>
      </c>
      <c r="E186" s="44">
        <v>0</v>
      </c>
      <c r="F186" s="44">
        <v>1975</v>
      </c>
      <c r="G186" s="44">
        <v>1975</v>
      </c>
      <c r="H186" s="46">
        <f>VLOOKUP(G186,coefficienti!A$1:C$36,2)</f>
        <v>0.11709047543265562</v>
      </c>
      <c r="I186" s="44">
        <f>INT(J186*H186/10)*10</f>
        <v>80</v>
      </c>
      <c r="J186" s="44">
        <v>700</v>
      </c>
      <c r="K186" s="44">
        <v>22.22222222222222</v>
      </c>
      <c r="L186" s="44">
        <v>25</v>
      </c>
      <c r="M186" s="44">
        <f t="shared" si="13"/>
        <v>0</v>
      </c>
      <c r="N186" s="44">
        <f t="shared" si="14"/>
        <v>0</v>
      </c>
      <c r="O186" s="44">
        <f t="shared" si="15"/>
        <v>0</v>
      </c>
      <c r="Q186" s="44" t="s">
        <v>16</v>
      </c>
    </row>
    <row r="187" spans="1:17" ht="12.75">
      <c r="A187" s="45" t="s">
        <v>549</v>
      </c>
      <c r="B187" s="44" t="s">
        <v>54</v>
      </c>
      <c r="C187" s="44" t="s">
        <v>53</v>
      </c>
      <c r="D187" s="44" t="s">
        <v>118</v>
      </c>
      <c r="E187" s="44">
        <v>0</v>
      </c>
      <c r="F187" s="44">
        <v>1989</v>
      </c>
      <c r="G187" s="44">
        <v>1989</v>
      </c>
      <c r="H187" s="46">
        <f>VLOOKUP(G187,coefficienti!A$1:C$36,2)</f>
        <v>0.6322885673363403</v>
      </c>
      <c r="I187" s="44">
        <f>INT(J187*H187/100)*100</f>
        <v>600</v>
      </c>
      <c r="J187" s="44">
        <v>1100</v>
      </c>
      <c r="K187" s="44">
        <v>22.22222222222222</v>
      </c>
      <c r="L187" s="44">
        <v>11</v>
      </c>
      <c r="M187" s="44">
        <f t="shared" si="13"/>
        <v>11.222222222222221</v>
      </c>
      <c r="N187" s="44">
        <f t="shared" si="14"/>
        <v>27</v>
      </c>
      <c r="O187" s="44">
        <f t="shared" si="15"/>
        <v>303</v>
      </c>
      <c r="Q187" s="44" t="s">
        <v>16</v>
      </c>
    </row>
    <row r="188" spans="1:17" ht="12.75">
      <c r="A188" s="45" t="s">
        <v>549</v>
      </c>
      <c r="B188" s="44" t="s">
        <v>37</v>
      </c>
      <c r="C188" s="44" t="s">
        <v>38</v>
      </c>
      <c r="E188" s="44">
        <v>0</v>
      </c>
      <c r="F188" s="44">
        <v>0</v>
      </c>
      <c r="G188" s="44">
        <v>0</v>
      </c>
      <c r="H188" s="46">
        <v>0.6</v>
      </c>
      <c r="I188" s="44">
        <f>INT(J188*H188/100)*100</f>
        <v>4300</v>
      </c>
      <c r="J188" s="44">
        <v>7200</v>
      </c>
      <c r="K188" s="44">
        <v>22.22222222222222</v>
      </c>
      <c r="L188" s="44">
        <v>4</v>
      </c>
      <c r="M188" s="44">
        <f t="shared" si="13"/>
        <v>18.22222222222222</v>
      </c>
      <c r="N188" s="44">
        <f t="shared" si="14"/>
        <v>193.5</v>
      </c>
      <c r="O188" s="44">
        <f t="shared" si="15"/>
        <v>3526</v>
      </c>
      <c r="Q188" s="44" t="s">
        <v>16</v>
      </c>
    </row>
    <row r="189" spans="1:17" ht="12.75">
      <c r="A189" s="45" t="s">
        <v>549</v>
      </c>
      <c r="B189" s="44" t="s">
        <v>119</v>
      </c>
      <c r="C189" s="44" t="s">
        <v>120</v>
      </c>
      <c r="D189" s="44" t="s">
        <v>121</v>
      </c>
      <c r="E189" s="44">
        <v>0</v>
      </c>
      <c r="F189" s="44">
        <v>1983</v>
      </c>
      <c r="G189" s="44">
        <v>1983</v>
      </c>
      <c r="H189" s="46">
        <f>VLOOKUP(G189,coefficienti!A$1:C$36,2)</f>
        <v>0.3756967512806928</v>
      </c>
      <c r="I189" s="44">
        <f>INT(J189*H189/100)*100</f>
        <v>3200</v>
      </c>
      <c r="J189" s="44">
        <v>8700</v>
      </c>
      <c r="K189" s="44">
        <v>16</v>
      </c>
      <c r="L189" s="44">
        <v>17</v>
      </c>
      <c r="M189" s="44">
        <f t="shared" si="13"/>
        <v>0</v>
      </c>
      <c r="N189" s="44">
        <f t="shared" si="14"/>
        <v>0</v>
      </c>
      <c r="O189" s="44">
        <f t="shared" si="15"/>
        <v>0</v>
      </c>
      <c r="Q189" s="44" t="s">
        <v>16</v>
      </c>
    </row>
    <row r="190" spans="1:17" ht="12.75">
      <c r="A190" s="45" t="s">
        <v>549</v>
      </c>
      <c r="B190" s="44" t="s">
        <v>122</v>
      </c>
      <c r="C190" s="44" t="s">
        <v>120</v>
      </c>
      <c r="D190" s="44" t="s">
        <v>121</v>
      </c>
      <c r="E190" s="44">
        <v>0</v>
      </c>
      <c r="F190" s="44">
        <v>1988</v>
      </c>
      <c r="G190" s="44">
        <v>1988</v>
      </c>
      <c r="H190" s="46">
        <f>VLOOKUP(G190,coefficienti!A$1:C$36,2)</f>
        <v>0.5925029864366423</v>
      </c>
      <c r="I190" s="44">
        <f>INT(J190*H190/100)*100</f>
        <v>5100</v>
      </c>
      <c r="J190" s="44">
        <v>8700</v>
      </c>
      <c r="K190" s="44">
        <v>16</v>
      </c>
      <c r="L190" s="44">
        <v>12</v>
      </c>
      <c r="M190" s="44">
        <f t="shared" si="13"/>
        <v>4</v>
      </c>
      <c r="N190" s="44">
        <f t="shared" si="14"/>
        <v>318.75</v>
      </c>
      <c r="O190" s="44">
        <f t="shared" si="15"/>
        <v>1275</v>
      </c>
      <c r="Q190" s="44" t="s">
        <v>16</v>
      </c>
    </row>
    <row r="191" spans="1:17" ht="12.75">
      <c r="A191" s="45" t="s">
        <v>549</v>
      </c>
      <c r="B191" s="44" t="s">
        <v>39</v>
      </c>
      <c r="C191" s="44" t="s">
        <v>40</v>
      </c>
      <c r="D191" s="44" t="s">
        <v>123</v>
      </c>
      <c r="E191" s="44">
        <v>0</v>
      </c>
      <c r="F191" s="44">
        <v>1983</v>
      </c>
      <c r="G191" s="44">
        <v>1983</v>
      </c>
      <c r="H191" s="46">
        <f>VLOOKUP(G191,coefficienti!A$1:C$36,2)</f>
        <v>0.3756967512806928</v>
      </c>
      <c r="I191" s="44">
        <f>INT(J191*H191/100)*100</f>
        <v>3200</v>
      </c>
      <c r="J191" s="44">
        <v>8700</v>
      </c>
      <c r="K191" s="44">
        <v>22.22222222222222</v>
      </c>
      <c r="L191" s="44">
        <v>17</v>
      </c>
      <c r="M191" s="44">
        <f t="shared" si="13"/>
        <v>5.222222222222221</v>
      </c>
      <c r="N191" s="44">
        <f t="shared" si="14"/>
        <v>144</v>
      </c>
      <c r="O191" s="44">
        <f t="shared" si="15"/>
        <v>751.9999999999999</v>
      </c>
      <c r="Q191" s="44" t="s">
        <v>16</v>
      </c>
    </row>
    <row r="192" spans="3:15" ht="12.75">
      <c r="C192" s="44" t="s">
        <v>340</v>
      </c>
      <c r="I192" s="44">
        <f>SUM(I149:I191)</f>
        <v>314880</v>
      </c>
      <c r="J192" s="44">
        <f>SUM(J149:J191)</f>
        <v>445800</v>
      </c>
      <c r="N192" s="44">
        <f>SUM(N149:N191)</f>
        <v>14762.25</v>
      </c>
      <c r="O192" s="44">
        <f>SUM(O149:O191)</f>
        <v>191566.25</v>
      </c>
    </row>
    <row r="193" spans="3:14" ht="12.75">
      <c r="C193" s="44" t="s">
        <v>341</v>
      </c>
      <c r="I193" s="44">
        <f>+I192-SUM(I189,I184:I186,I180,I177,I175)</f>
        <v>294300</v>
      </c>
      <c r="J193" s="44">
        <f>+J192-SUM(J189,J184:J186,J180,J177,J175)</f>
        <v>389800</v>
      </c>
      <c r="N193" s="47">
        <f>+N192/I192</f>
        <v>0.04688214557926829</v>
      </c>
    </row>
    <row r="194" spans="3:14" ht="12.75">
      <c r="C194" s="44" t="s">
        <v>454</v>
      </c>
      <c r="I194" s="44">
        <f>+I193-O192</f>
        <v>102733.75</v>
      </c>
      <c r="J194" s="44">
        <f>+J193-O192</f>
        <v>198233.75</v>
      </c>
      <c r="N194" s="48">
        <f>+N192/I193</f>
        <v>0.0501605504587156</v>
      </c>
    </row>
    <row r="195" ht="12.75">
      <c r="N195" s="48"/>
    </row>
    <row r="196" ht="12.75">
      <c r="A196" s="44" t="s">
        <v>346</v>
      </c>
    </row>
    <row r="197" spans="1:17" ht="12.75">
      <c r="A197" s="44" t="s">
        <v>1</v>
      </c>
      <c r="B197" s="44" t="s">
        <v>2</v>
      </c>
      <c r="C197" s="44" t="s">
        <v>3</v>
      </c>
      <c r="D197" s="44" t="s">
        <v>15</v>
      </c>
      <c r="E197" s="44" t="s">
        <v>4</v>
      </c>
      <c r="F197" s="44" t="s">
        <v>5</v>
      </c>
      <c r="G197" s="44" t="s">
        <v>6</v>
      </c>
      <c r="H197" s="44" t="s">
        <v>338</v>
      </c>
      <c r="I197" s="44" t="s">
        <v>339</v>
      </c>
      <c r="J197" s="44" t="s">
        <v>7</v>
      </c>
      <c r="K197" s="44" t="s">
        <v>9</v>
      </c>
      <c r="L197" s="44" t="s">
        <v>10</v>
      </c>
      <c r="M197" s="44" t="s">
        <v>8</v>
      </c>
      <c r="N197" s="44" t="s">
        <v>11</v>
      </c>
      <c r="O197" s="44" t="s">
        <v>12</v>
      </c>
      <c r="P197" s="44" t="s">
        <v>13</v>
      </c>
      <c r="Q197" s="44" t="s">
        <v>14</v>
      </c>
    </row>
    <row r="198" spans="1:17" ht="12.75">
      <c r="A198" s="45" t="s">
        <v>549</v>
      </c>
      <c r="B198" s="44" t="s">
        <v>17</v>
      </c>
      <c r="C198" s="44" t="s">
        <v>18</v>
      </c>
      <c r="D198" s="44" t="s">
        <v>80</v>
      </c>
      <c r="E198" s="44">
        <v>67</v>
      </c>
      <c r="F198" s="44">
        <v>1986</v>
      </c>
      <c r="G198" s="44">
        <v>1986</v>
      </c>
      <c r="H198" s="46">
        <f>VLOOKUP(G198,coefficienti!A$1:C$36,2)</f>
        <v>0.5396234168864108</v>
      </c>
      <c r="I198" s="44">
        <f>INT(J198*H198/100)*100</f>
        <v>15500</v>
      </c>
      <c r="J198" s="44">
        <v>28900</v>
      </c>
      <c r="K198" s="44">
        <v>11.11111111111111</v>
      </c>
      <c r="L198" s="44">
        <v>14</v>
      </c>
      <c r="M198" s="44">
        <f aca="true" t="shared" si="16" ref="M198:M240">IF(L198&gt;K198,0,K198-L198)</f>
        <v>0</v>
      </c>
      <c r="N198" s="44">
        <f>IF((L198&gt;K198),0,J198/K198)</f>
        <v>0</v>
      </c>
      <c r="O198" s="44">
        <f aca="true" t="shared" si="17" ref="O198:O240">+N198*M198</f>
        <v>0</v>
      </c>
      <c r="Q198" s="44" t="s">
        <v>16</v>
      </c>
    </row>
    <row r="199" spans="1:17" ht="12.75">
      <c r="A199" s="45" t="s">
        <v>549</v>
      </c>
      <c r="B199" s="44" t="s">
        <v>19</v>
      </c>
      <c r="C199" s="44" t="s">
        <v>18</v>
      </c>
      <c r="D199" s="44" t="s">
        <v>81</v>
      </c>
      <c r="E199" s="44">
        <v>100</v>
      </c>
      <c r="F199" s="44">
        <v>1993</v>
      </c>
      <c r="G199" s="44">
        <v>1991</v>
      </c>
      <c r="H199" s="46">
        <f>VLOOKUP(G199,coefficienti!A$1:C$36,2)</f>
        <v>0.6929741685820822</v>
      </c>
      <c r="I199" s="44">
        <f aca="true" t="shared" si="18" ref="I199:I234">INT(J199*H199/100)*100</f>
        <v>42600</v>
      </c>
      <c r="J199" s="44">
        <v>61500</v>
      </c>
      <c r="K199" s="44">
        <v>11.11111111111111</v>
      </c>
      <c r="L199" s="44">
        <v>9</v>
      </c>
      <c r="M199" s="44">
        <f t="shared" si="16"/>
        <v>2.1111111111111107</v>
      </c>
      <c r="N199" s="44">
        <f aca="true" t="shared" si="19" ref="N199:N240">IF((L199&gt;K199),0,J199/K199)</f>
        <v>5535</v>
      </c>
      <c r="O199" s="44">
        <f t="shared" si="17"/>
        <v>11684.999999999998</v>
      </c>
      <c r="Q199" s="44" t="s">
        <v>16</v>
      </c>
    </row>
    <row r="200" spans="1:17" ht="12.75">
      <c r="A200" s="45" t="s">
        <v>549</v>
      </c>
      <c r="B200" s="44" t="s">
        <v>55</v>
      </c>
      <c r="C200" s="44" t="s">
        <v>18</v>
      </c>
      <c r="D200" s="44" t="s">
        <v>81</v>
      </c>
      <c r="E200" s="44">
        <v>100</v>
      </c>
      <c r="F200" s="44">
        <v>1993</v>
      </c>
      <c r="G200" s="44">
        <v>1993</v>
      </c>
      <c r="H200" s="46">
        <f>VLOOKUP(G200,coefficienti!A$1:C$36,2)</f>
        <v>0.7876165113182424</v>
      </c>
      <c r="I200" s="44">
        <f t="shared" si="18"/>
        <v>48400</v>
      </c>
      <c r="J200" s="44">
        <v>61500</v>
      </c>
      <c r="K200" s="44">
        <v>11.11111111111111</v>
      </c>
      <c r="L200" s="44">
        <v>7</v>
      </c>
      <c r="M200" s="44">
        <f t="shared" si="16"/>
        <v>4.111111111111111</v>
      </c>
      <c r="N200" s="44">
        <f t="shared" si="19"/>
        <v>5535</v>
      </c>
      <c r="O200" s="44">
        <f t="shared" si="17"/>
        <v>22754.999999999996</v>
      </c>
      <c r="Q200" s="44" t="s">
        <v>16</v>
      </c>
    </row>
    <row r="201" spans="1:17" ht="12.75">
      <c r="A201" s="45" t="s">
        <v>549</v>
      </c>
      <c r="B201" s="44" t="s">
        <v>20</v>
      </c>
      <c r="C201" s="44" t="s">
        <v>21</v>
      </c>
      <c r="D201" s="44" t="s">
        <v>82</v>
      </c>
      <c r="E201" s="44">
        <v>8</v>
      </c>
      <c r="F201" s="44">
        <v>1990</v>
      </c>
      <c r="G201" s="44">
        <v>1990</v>
      </c>
      <c r="H201" s="46">
        <f>VLOOKUP(G201,coefficienti!A$1:C$36,2)</f>
        <v>0.6657789613848203</v>
      </c>
      <c r="I201" s="44">
        <f t="shared" si="18"/>
        <v>1600</v>
      </c>
      <c r="J201" s="44">
        <v>2500</v>
      </c>
      <c r="K201" s="44">
        <v>11.11111111111111</v>
      </c>
      <c r="L201" s="44">
        <v>10</v>
      </c>
      <c r="M201" s="44">
        <f t="shared" si="16"/>
        <v>1.1111111111111107</v>
      </c>
      <c r="N201" s="44">
        <f t="shared" si="19"/>
        <v>225</v>
      </c>
      <c r="O201" s="44">
        <f t="shared" si="17"/>
        <v>249.99999999999991</v>
      </c>
      <c r="Q201" s="44" t="s">
        <v>16</v>
      </c>
    </row>
    <row r="202" spans="1:17" ht="12.75">
      <c r="A202" s="45" t="s">
        <v>549</v>
      </c>
      <c r="B202" s="44" t="s">
        <v>41</v>
      </c>
      <c r="C202" s="44" t="s">
        <v>42</v>
      </c>
      <c r="E202" s="44">
        <v>0</v>
      </c>
      <c r="F202" s="44">
        <v>1992</v>
      </c>
      <c r="G202" s="44">
        <v>1992</v>
      </c>
      <c r="H202" s="46">
        <f>VLOOKUP(G202,coefficienti!A$1:C$36,2)</f>
        <v>0.741011984021305</v>
      </c>
      <c r="I202" s="44">
        <f t="shared" si="18"/>
        <v>1600</v>
      </c>
      <c r="J202" s="44">
        <v>2200</v>
      </c>
      <c r="K202" s="44">
        <v>11.11111111111111</v>
      </c>
      <c r="L202" s="44">
        <v>8</v>
      </c>
      <c r="M202" s="44">
        <f t="shared" si="16"/>
        <v>3.1111111111111107</v>
      </c>
      <c r="N202" s="44">
        <f t="shared" si="19"/>
        <v>198</v>
      </c>
      <c r="O202" s="44">
        <f t="shared" si="17"/>
        <v>615.9999999999999</v>
      </c>
      <c r="Q202" s="44" t="s">
        <v>16</v>
      </c>
    </row>
    <row r="203" spans="1:17" ht="12.75">
      <c r="A203" s="45" t="s">
        <v>549</v>
      </c>
      <c r="B203" s="44" t="s">
        <v>22</v>
      </c>
      <c r="C203" s="44" t="s">
        <v>23</v>
      </c>
      <c r="E203" s="44">
        <v>0</v>
      </c>
      <c r="F203" s="44">
        <v>1998</v>
      </c>
      <c r="G203" s="44">
        <v>1998</v>
      </c>
      <c r="H203" s="46">
        <f>VLOOKUP(G203,coefficienti!A$1:C$36,2)</f>
        <v>0.9880159786950733</v>
      </c>
      <c r="I203" s="44">
        <f t="shared" si="18"/>
        <v>6400</v>
      </c>
      <c r="J203" s="44">
        <v>6500</v>
      </c>
      <c r="K203" s="44">
        <v>11.11111111111111</v>
      </c>
      <c r="L203" s="44">
        <v>2</v>
      </c>
      <c r="M203" s="44">
        <f t="shared" si="16"/>
        <v>9.11111111111111</v>
      </c>
      <c r="N203" s="44">
        <f t="shared" si="19"/>
        <v>585</v>
      </c>
      <c r="O203" s="44">
        <f t="shared" si="17"/>
        <v>5330</v>
      </c>
      <c r="Q203" s="44" t="s">
        <v>16</v>
      </c>
    </row>
    <row r="204" spans="1:17" ht="12.75">
      <c r="A204" s="45" t="s">
        <v>549</v>
      </c>
      <c r="B204" s="44" t="s">
        <v>24</v>
      </c>
      <c r="C204" s="44" t="s">
        <v>25</v>
      </c>
      <c r="D204" s="44" t="s">
        <v>83</v>
      </c>
      <c r="E204" s="44">
        <v>0</v>
      </c>
      <c r="F204" s="44">
        <v>1999</v>
      </c>
      <c r="G204" s="44">
        <v>1999</v>
      </c>
      <c r="H204" s="46">
        <f>VLOOKUP(G204,coefficienti!A$1:C$36,2)</f>
        <v>0.9919551708832667</v>
      </c>
      <c r="I204" s="44">
        <f t="shared" si="18"/>
        <v>3900</v>
      </c>
      <c r="J204" s="44">
        <v>4000</v>
      </c>
      <c r="K204" s="44">
        <v>11.11111111111111</v>
      </c>
      <c r="L204" s="44">
        <v>1</v>
      </c>
      <c r="M204" s="44">
        <f t="shared" si="16"/>
        <v>10.11111111111111</v>
      </c>
      <c r="N204" s="44">
        <f t="shared" si="19"/>
        <v>360</v>
      </c>
      <c r="O204" s="44">
        <f t="shared" si="17"/>
        <v>3640</v>
      </c>
      <c r="Q204" s="44" t="s">
        <v>16</v>
      </c>
    </row>
    <row r="205" spans="1:17" ht="12.75">
      <c r="A205" s="45" t="s">
        <v>549</v>
      </c>
      <c r="B205" s="44" t="s">
        <v>77</v>
      </c>
      <c r="C205" s="44" t="s">
        <v>78</v>
      </c>
      <c r="D205" s="44" t="s">
        <v>84</v>
      </c>
      <c r="E205" s="44">
        <v>0</v>
      </c>
      <c r="F205" s="44">
        <v>1998</v>
      </c>
      <c r="G205" s="44">
        <v>1998</v>
      </c>
      <c r="H205" s="46">
        <f>VLOOKUP(G205,coefficienti!A$1:C$36,2)</f>
        <v>0.9880159786950733</v>
      </c>
      <c r="I205" s="44">
        <f t="shared" si="18"/>
        <v>2800</v>
      </c>
      <c r="J205" s="44">
        <v>2900</v>
      </c>
      <c r="K205" s="44">
        <v>11.11111111111111</v>
      </c>
      <c r="L205" s="44">
        <v>2</v>
      </c>
      <c r="M205" s="44">
        <f t="shared" si="16"/>
        <v>9.11111111111111</v>
      </c>
      <c r="N205" s="44">
        <f t="shared" si="19"/>
        <v>261</v>
      </c>
      <c r="O205" s="44">
        <f t="shared" si="17"/>
        <v>2378</v>
      </c>
      <c r="Q205" s="44" t="s">
        <v>16</v>
      </c>
    </row>
    <row r="206" spans="1:17" ht="12.75">
      <c r="A206" s="45" t="s">
        <v>549</v>
      </c>
      <c r="B206" s="44" t="s">
        <v>28</v>
      </c>
      <c r="C206" s="44" t="s">
        <v>29</v>
      </c>
      <c r="E206" s="44">
        <v>0</v>
      </c>
      <c r="F206" s="44">
        <v>1996</v>
      </c>
      <c r="G206" s="44">
        <v>1996</v>
      </c>
      <c r="H206" s="46">
        <f>VLOOKUP(G206,coefficienti!A$1:C$36,2)</f>
        <v>0.9420772303595207</v>
      </c>
      <c r="I206" s="44">
        <f t="shared" si="18"/>
        <v>1200</v>
      </c>
      <c r="J206" s="44">
        <v>1300</v>
      </c>
      <c r="K206" s="44">
        <v>11.11111111111111</v>
      </c>
      <c r="L206" s="44">
        <v>4</v>
      </c>
      <c r="M206" s="44">
        <f t="shared" si="16"/>
        <v>7.111111111111111</v>
      </c>
      <c r="N206" s="44">
        <f t="shared" si="19"/>
        <v>117</v>
      </c>
      <c r="O206" s="44">
        <f t="shared" si="17"/>
        <v>832</v>
      </c>
      <c r="Q206" s="44" t="s">
        <v>16</v>
      </c>
    </row>
    <row r="207" spans="1:17" ht="12.75">
      <c r="A207" s="45" t="s">
        <v>549</v>
      </c>
      <c r="B207" s="44" t="s">
        <v>43</v>
      </c>
      <c r="C207" s="44" t="s">
        <v>30</v>
      </c>
      <c r="E207" s="44">
        <v>0</v>
      </c>
      <c r="F207" s="44">
        <v>1985</v>
      </c>
      <c r="G207" s="44">
        <v>1985</v>
      </c>
      <c r="H207" s="46">
        <f>VLOOKUP(G207,coefficienti!A$1:C$36,2)</f>
        <v>0.5046221779936384</v>
      </c>
      <c r="I207" s="44">
        <f t="shared" si="18"/>
        <v>2500</v>
      </c>
      <c r="J207" s="44">
        <v>5100</v>
      </c>
      <c r="K207" s="44">
        <v>11.11111111111111</v>
      </c>
      <c r="L207" s="44">
        <v>15</v>
      </c>
      <c r="M207" s="44">
        <f t="shared" si="16"/>
        <v>0</v>
      </c>
      <c r="N207" s="44">
        <f t="shared" si="19"/>
        <v>0</v>
      </c>
      <c r="O207" s="44">
        <f t="shared" si="17"/>
        <v>0</v>
      </c>
      <c r="Q207" s="44" t="s">
        <v>16</v>
      </c>
    </row>
    <row r="208" spans="1:17" ht="12.75">
      <c r="A208" s="45" t="s">
        <v>549</v>
      </c>
      <c r="B208" s="44" t="s">
        <v>68</v>
      </c>
      <c r="C208" s="44" t="s">
        <v>67</v>
      </c>
      <c r="D208" s="44" t="s">
        <v>85</v>
      </c>
      <c r="E208" s="44">
        <v>0</v>
      </c>
      <c r="F208" s="44">
        <v>1990</v>
      </c>
      <c r="G208" s="44">
        <v>1990</v>
      </c>
      <c r="H208" s="46">
        <f>VLOOKUP(G208,coefficienti!A$1:C$36,2)</f>
        <v>0.6657789613848203</v>
      </c>
      <c r="I208" s="44">
        <f t="shared" si="18"/>
        <v>3800</v>
      </c>
      <c r="J208" s="44">
        <v>5800</v>
      </c>
      <c r="K208" s="44">
        <v>11.11111111111111</v>
      </c>
      <c r="L208" s="44">
        <v>10</v>
      </c>
      <c r="M208" s="44">
        <f t="shared" si="16"/>
        <v>1.1111111111111107</v>
      </c>
      <c r="N208" s="44">
        <f t="shared" si="19"/>
        <v>522</v>
      </c>
      <c r="O208" s="44">
        <f t="shared" si="17"/>
        <v>579.9999999999998</v>
      </c>
      <c r="Q208" s="44" t="s">
        <v>16</v>
      </c>
    </row>
    <row r="209" spans="1:17" ht="12.75">
      <c r="A209" s="45" t="s">
        <v>549</v>
      </c>
      <c r="B209" s="44" t="s">
        <v>69</v>
      </c>
      <c r="C209" s="44" t="s">
        <v>67</v>
      </c>
      <c r="D209" s="44" t="s">
        <v>86</v>
      </c>
      <c r="E209" s="44">
        <v>0</v>
      </c>
      <c r="F209" s="44">
        <v>1995</v>
      </c>
      <c r="G209" s="44">
        <v>1995</v>
      </c>
      <c r="H209" s="46">
        <f>VLOOKUP(G209,coefficienti!A$1:C$36,2)</f>
        <v>0.8794940079893475</v>
      </c>
      <c r="I209" s="44">
        <f t="shared" si="18"/>
        <v>5100</v>
      </c>
      <c r="J209" s="44">
        <v>5800</v>
      </c>
      <c r="K209" s="44">
        <v>11.11111111111111</v>
      </c>
      <c r="L209" s="44">
        <v>5</v>
      </c>
      <c r="M209" s="44">
        <f t="shared" si="16"/>
        <v>6.111111111111111</v>
      </c>
      <c r="N209" s="44">
        <f t="shared" si="19"/>
        <v>522</v>
      </c>
      <c r="O209" s="44">
        <f t="shared" si="17"/>
        <v>3190</v>
      </c>
      <c r="Q209" s="44" t="s">
        <v>16</v>
      </c>
    </row>
    <row r="210" spans="1:17" ht="12.75">
      <c r="A210" s="45" t="s">
        <v>549</v>
      </c>
      <c r="B210" s="44" t="s">
        <v>31</v>
      </c>
      <c r="C210" s="44" t="s">
        <v>32</v>
      </c>
      <c r="D210" s="44" t="s">
        <v>87</v>
      </c>
      <c r="E210" s="44">
        <v>0</v>
      </c>
      <c r="F210" s="44">
        <v>1996</v>
      </c>
      <c r="G210" s="44">
        <v>1996</v>
      </c>
      <c r="H210" s="46">
        <f>VLOOKUP(G210,coefficienti!A$1:C$36,2)</f>
        <v>0.9420772303595207</v>
      </c>
      <c r="I210" s="44">
        <f t="shared" si="18"/>
        <v>9800</v>
      </c>
      <c r="J210" s="44">
        <v>10500</v>
      </c>
      <c r="K210" s="44">
        <v>8</v>
      </c>
      <c r="L210" s="44">
        <v>4</v>
      </c>
      <c r="M210" s="44">
        <f t="shared" si="16"/>
        <v>4</v>
      </c>
      <c r="N210" s="44">
        <f t="shared" si="19"/>
        <v>1312.5</v>
      </c>
      <c r="O210" s="44">
        <f t="shared" si="17"/>
        <v>5250</v>
      </c>
      <c r="Q210" s="44" t="s">
        <v>16</v>
      </c>
    </row>
    <row r="211" spans="1:17" ht="12.75">
      <c r="A211" s="45" t="s">
        <v>549</v>
      </c>
      <c r="B211" s="44" t="s">
        <v>88</v>
      </c>
      <c r="C211" s="44" t="s">
        <v>57</v>
      </c>
      <c r="E211" s="44">
        <v>0</v>
      </c>
      <c r="F211" s="44">
        <v>1990</v>
      </c>
      <c r="G211" s="44">
        <v>1990</v>
      </c>
      <c r="H211" s="46">
        <f>VLOOKUP(G211,coefficienti!A$1:C$36,2)</f>
        <v>0.6657789613848203</v>
      </c>
      <c r="I211" s="44">
        <f t="shared" si="18"/>
        <v>6100</v>
      </c>
      <c r="J211" s="44">
        <v>9300</v>
      </c>
      <c r="K211" s="44">
        <v>8</v>
      </c>
      <c r="L211" s="44">
        <v>10</v>
      </c>
      <c r="M211" s="44">
        <f t="shared" si="16"/>
        <v>0</v>
      </c>
      <c r="N211" s="44">
        <f t="shared" si="19"/>
        <v>0</v>
      </c>
      <c r="O211" s="44">
        <f t="shared" si="17"/>
        <v>0</v>
      </c>
      <c r="Q211" s="44" t="s">
        <v>16</v>
      </c>
    </row>
    <row r="212" spans="1:17" ht="12.75">
      <c r="A212" s="45" t="s">
        <v>549</v>
      </c>
      <c r="B212" s="44" t="s">
        <v>44</v>
      </c>
      <c r="C212" s="44" t="s">
        <v>45</v>
      </c>
      <c r="D212" s="44" t="s">
        <v>89</v>
      </c>
      <c r="E212" s="44">
        <v>0</v>
      </c>
      <c r="F212" s="44">
        <v>1995</v>
      </c>
      <c r="G212" s="44">
        <v>1995</v>
      </c>
      <c r="H212" s="46">
        <f>VLOOKUP(G212,coefficienti!A$1:C$36,2)</f>
        <v>0.8794940079893475</v>
      </c>
      <c r="I212" s="44">
        <f t="shared" si="18"/>
        <v>2100</v>
      </c>
      <c r="J212" s="44">
        <v>2500</v>
      </c>
      <c r="K212" s="44">
        <v>11.11111111111111</v>
      </c>
      <c r="L212" s="44">
        <v>5</v>
      </c>
      <c r="M212" s="44">
        <f t="shared" si="16"/>
        <v>6.111111111111111</v>
      </c>
      <c r="N212" s="44">
        <f t="shared" si="19"/>
        <v>225</v>
      </c>
      <c r="O212" s="44">
        <f t="shared" si="17"/>
        <v>1375</v>
      </c>
      <c r="Q212" s="44" t="s">
        <v>16</v>
      </c>
    </row>
    <row r="213" spans="1:17" ht="12.75">
      <c r="A213" s="45" t="s">
        <v>549</v>
      </c>
      <c r="B213" s="44" t="s">
        <v>90</v>
      </c>
      <c r="C213" s="44" t="s">
        <v>46</v>
      </c>
      <c r="D213" s="44" t="s">
        <v>91</v>
      </c>
      <c r="E213" s="44">
        <v>0</v>
      </c>
      <c r="F213" s="44">
        <v>1994</v>
      </c>
      <c r="G213" s="44">
        <v>1994</v>
      </c>
      <c r="H213" s="46">
        <f>VLOOKUP(G213,coefficienti!A$1:C$36,2)</f>
        <v>0.8169107856191745</v>
      </c>
      <c r="I213" s="44">
        <f t="shared" si="18"/>
        <v>6600</v>
      </c>
      <c r="J213" s="44">
        <v>8200</v>
      </c>
      <c r="K213" s="44">
        <v>11.11111111111111</v>
      </c>
      <c r="L213" s="44">
        <v>6</v>
      </c>
      <c r="M213" s="44">
        <f t="shared" si="16"/>
        <v>5.111111111111111</v>
      </c>
      <c r="N213" s="44">
        <f t="shared" si="19"/>
        <v>738</v>
      </c>
      <c r="O213" s="44">
        <f t="shared" si="17"/>
        <v>3771.9999999999995</v>
      </c>
      <c r="Q213" s="44" t="s">
        <v>16</v>
      </c>
    </row>
    <row r="214" spans="1:17" ht="12.75">
      <c r="A214" s="45" t="s">
        <v>549</v>
      </c>
      <c r="B214" s="44" t="s">
        <v>92</v>
      </c>
      <c r="C214" s="44" t="s">
        <v>46</v>
      </c>
      <c r="D214" s="44" t="s">
        <v>93</v>
      </c>
      <c r="E214" s="44">
        <v>0</v>
      </c>
      <c r="F214" s="44">
        <v>1994</v>
      </c>
      <c r="G214" s="44">
        <v>1994</v>
      </c>
      <c r="H214" s="46">
        <f>VLOOKUP(G214,coefficienti!A$1:C$36,2)</f>
        <v>0.8169107856191745</v>
      </c>
      <c r="I214" s="44">
        <f t="shared" si="18"/>
        <v>6600</v>
      </c>
      <c r="J214" s="44">
        <v>8200</v>
      </c>
      <c r="K214" s="44">
        <v>11.11111111111111</v>
      </c>
      <c r="L214" s="44">
        <v>6</v>
      </c>
      <c r="M214" s="44">
        <f t="shared" si="16"/>
        <v>5.111111111111111</v>
      </c>
      <c r="N214" s="44">
        <f t="shared" si="19"/>
        <v>738</v>
      </c>
      <c r="O214" s="44">
        <f t="shared" si="17"/>
        <v>3771.9999999999995</v>
      </c>
      <c r="Q214" s="44" t="s">
        <v>16</v>
      </c>
    </row>
    <row r="215" spans="1:17" ht="12.75">
      <c r="A215" s="45" t="s">
        <v>549</v>
      </c>
      <c r="B215" s="44" t="s">
        <v>94</v>
      </c>
      <c r="C215" s="44" t="s">
        <v>46</v>
      </c>
      <c r="E215" s="44">
        <v>0</v>
      </c>
      <c r="F215" s="44">
        <v>1999</v>
      </c>
      <c r="G215" s="44">
        <v>1993</v>
      </c>
      <c r="H215" s="46">
        <f>VLOOKUP(G215,coefficienti!A$1:C$36,2)</f>
        <v>0.7876165113182424</v>
      </c>
      <c r="I215" s="44">
        <f t="shared" si="18"/>
        <v>6400</v>
      </c>
      <c r="J215" s="44">
        <v>8200</v>
      </c>
      <c r="K215" s="44">
        <v>11.11111111111111</v>
      </c>
      <c r="L215" s="44">
        <v>7</v>
      </c>
      <c r="M215" s="44">
        <f t="shared" si="16"/>
        <v>4.111111111111111</v>
      </c>
      <c r="N215" s="44">
        <f t="shared" si="19"/>
        <v>738</v>
      </c>
      <c r="O215" s="44">
        <f t="shared" si="17"/>
        <v>3033.9999999999995</v>
      </c>
      <c r="Q215" s="44" t="s">
        <v>16</v>
      </c>
    </row>
    <row r="216" spans="1:17" ht="12.75">
      <c r="A216" s="45" t="s">
        <v>549</v>
      </c>
      <c r="B216" s="44" t="s">
        <v>33</v>
      </c>
      <c r="C216" s="44" t="s">
        <v>34</v>
      </c>
      <c r="D216" s="44" t="s">
        <v>95</v>
      </c>
      <c r="E216" s="44">
        <v>0</v>
      </c>
      <c r="F216" s="44">
        <v>1992</v>
      </c>
      <c r="G216" s="44">
        <v>1992</v>
      </c>
      <c r="H216" s="46">
        <f>VLOOKUP(G216,coefficienti!A$1:C$36,2)</f>
        <v>0.741011984021305</v>
      </c>
      <c r="I216" s="44">
        <f t="shared" si="18"/>
        <v>4200</v>
      </c>
      <c r="J216" s="44">
        <v>5800</v>
      </c>
      <c r="K216" s="44">
        <v>8</v>
      </c>
      <c r="L216" s="44">
        <v>8</v>
      </c>
      <c r="M216" s="44">
        <f t="shared" si="16"/>
        <v>0</v>
      </c>
      <c r="N216" s="44">
        <f t="shared" si="19"/>
        <v>725</v>
      </c>
      <c r="O216" s="44">
        <f t="shared" si="17"/>
        <v>0</v>
      </c>
      <c r="Q216" s="44" t="s">
        <v>16</v>
      </c>
    </row>
    <row r="217" spans="1:17" ht="12.75">
      <c r="A217" s="45" t="s">
        <v>549</v>
      </c>
      <c r="B217" s="44" t="s">
        <v>96</v>
      </c>
      <c r="C217" s="44" t="s">
        <v>97</v>
      </c>
      <c r="E217" s="44">
        <v>0</v>
      </c>
      <c r="F217" s="44">
        <v>1997</v>
      </c>
      <c r="G217" s="44">
        <v>1997</v>
      </c>
      <c r="H217" s="46">
        <f>VLOOKUP(G217,coefficienti!A$1:C$36,2)</f>
        <v>0.9733688415446072</v>
      </c>
      <c r="I217" s="44">
        <f t="shared" si="18"/>
        <v>12600</v>
      </c>
      <c r="J217" s="44">
        <v>13000</v>
      </c>
      <c r="K217" s="44">
        <v>11.11111111111111</v>
      </c>
      <c r="L217" s="44">
        <v>3</v>
      </c>
      <c r="M217" s="44">
        <f t="shared" si="16"/>
        <v>8.11111111111111</v>
      </c>
      <c r="N217" s="44">
        <f t="shared" si="19"/>
        <v>1170</v>
      </c>
      <c r="O217" s="44">
        <f t="shared" si="17"/>
        <v>9490</v>
      </c>
      <c r="Q217" s="44" t="s">
        <v>16</v>
      </c>
    </row>
    <row r="218" spans="1:17" ht="12.75">
      <c r="A218" s="45" t="s">
        <v>549</v>
      </c>
      <c r="B218" s="44" t="s">
        <v>50</v>
      </c>
      <c r="C218" s="44" t="s">
        <v>51</v>
      </c>
      <c r="D218" s="44" t="s">
        <v>98</v>
      </c>
      <c r="E218" s="44">
        <v>0</v>
      </c>
      <c r="F218" s="44">
        <v>1998</v>
      </c>
      <c r="G218" s="44">
        <v>1998</v>
      </c>
      <c r="H218" s="46">
        <f>VLOOKUP(G218,coefficienti!A$1:C$36,2)</f>
        <v>0.9880159786950733</v>
      </c>
      <c r="I218" s="44">
        <f t="shared" si="18"/>
        <v>16800</v>
      </c>
      <c r="J218" s="44">
        <v>17100</v>
      </c>
      <c r="K218" s="44">
        <v>11.11111111111111</v>
      </c>
      <c r="L218" s="44">
        <v>2</v>
      </c>
      <c r="M218" s="44">
        <f t="shared" si="16"/>
        <v>9.11111111111111</v>
      </c>
      <c r="N218" s="44">
        <f t="shared" si="19"/>
        <v>1539</v>
      </c>
      <c r="O218" s="44">
        <f t="shared" si="17"/>
        <v>14022</v>
      </c>
      <c r="Q218" s="44" t="s">
        <v>16</v>
      </c>
    </row>
    <row r="219" spans="1:17" ht="12.75">
      <c r="A219" s="45" t="s">
        <v>549</v>
      </c>
      <c r="B219" s="44" t="s">
        <v>47</v>
      </c>
      <c r="C219" s="44" t="s">
        <v>48</v>
      </c>
      <c r="E219" s="44">
        <v>0</v>
      </c>
      <c r="F219" s="44">
        <v>1995</v>
      </c>
      <c r="G219" s="44">
        <v>1995</v>
      </c>
      <c r="H219" s="46">
        <f>VLOOKUP(G219,coefficienti!A$1:C$36,2)</f>
        <v>0.8794940079893475</v>
      </c>
      <c r="I219" s="44">
        <f t="shared" si="18"/>
        <v>4100</v>
      </c>
      <c r="J219" s="44">
        <v>4700</v>
      </c>
      <c r="K219" s="44">
        <v>11.11111111111111</v>
      </c>
      <c r="L219" s="44">
        <v>5</v>
      </c>
      <c r="M219" s="44">
        <f t="shared" si="16"/>
        <v>6.111111111111111</v>
      </c>
      <c r="N219" s="44">
        <f t="shared" si="19"/>
        <v>423</v>
      </c>
      <c r="O219" s="44">
        <f t="shared" si="17"/>
        <v>2585</v>
      </c>
      <c r="Q219" s="44" t="s">
        <v>16</v>
      </c>
    </row>
    <row r="220" spans="1:17" ht="12.75">
      <c r="A220" s="45" t="s">
        <v>549</v>
      </c>
      <c r="B220" s="44" t="s">
        <v>35</v>
      </c>
      <c r="C220" s="44" t="s">
        <v>36</v>
      </c>
      <c r="D220" s="44" t="s">
        <v>70</v>
      </c>
      <c r="E220" s="44">
        <v>0</v>
      </c>
      <c r="F220" s="44">
        <v>1992</v>
      </c>
      <c r="G220" s="44">
        <v>1992</v>
      </c>
      <c r="H220" s="46">
        <f>VLOOKUP(G220,coefficienti!A$1:C$36,2)</f>
        <v>0.741011984021305</v>
      </c>
      <c r="I220" s="44">
        <f t="shared" si="18"/>
        <v>2400</v>
      </c>
      <c r="J220" s="44">
        <v>3300</v>
      </c>
      <c r="K220" s="44">
        <v>11.11111111111111</v>
      </c>
      <c r="L220" s="44">
        <v>8</v>
      </c>
      <c r="M220" s="44">
        <f t="shared" si="16"/>
        <v>3.1111111111111107</v>
      </c>
      <c r="N220" s="44">
        <f t="shared" si="19"/>
        <v>297</v>
      </c>
      <c r="O220" s="44">
        <f t="shared" si="17"/>
        <v>923.9999999999999</v>
      </c>
      <c r="Q220" s="44" t="s">
        <v>16</v>
      </c>
    </row>
    <row r="221" spans="1:17" ht="12.75">
      <c r="A221" s="45" t="s">
        <v>549</v>
      </c>
      <c r="B221" s="44" t="s">
        <v>71</v>
      </c>
      <c r="C221" s="44" t="s">
        <v>72</v>
      </c>
      <c r="E221" s="44">
        <v>0</v>
      </c>
      <c r="F221" s="44">
        <v>1995</v>
      </c>
      <c r="G221" s="44">
        <v>1995</v>
      </c>
      <c r="H221" s="46">
        <f>VLOOKUP(G221,coefficienti!A$1:C$36,2)</f>
        <v>0.8794940079893475</v>
      </c>
      <c r="I221" s="44">
        <f t="shared" si="18"/>
        <v>28500</v>
      </c>
      <c r="J221" s="44">
        <v>32500</v>
      </c>
      <c r="K221" s="44">
        <v>8</v>
      </c>
      <c r="L221" s="44">
        <v>5</v>
      </c>
      <c r="M221" s="44">
        <f t="shared" si="16"/>
        <v>3</v>
      </c>
      <c r="N221" s="44">
        <f t="shared" si="19"/>
        <v>4062.5</v>
      </c>
      <c r="O221" s="44">
        <f t="shared" si="17"/>
        <v>12187.5</v>
      </c>
      <c r="Q221" s="44" t="s">
        <v>16</v>
      </c>
    </row>
    <row r="222" spans="1:17" ht="12.75">
      <c r="A222" s="45" t="s">
        <v>549</v>
      </c>
      <c r="B222" s="44" t="s">
        <v>58</v>
      </c>
      <c r="C222" s="44" t="s">
        <v>49</v>
      </c>
      <c r="E222" s="44">
        <v>0</v>
      </c>
      <c r="F222" s="44">
        <v>1997</v>
      </c>
      <c r="G222" s="44">
        <v>1997</v>
      </c>
      <c r="H222" s="46">
        <f>VLOOKUP(G222,coefficienti!A$1:C$36,2)</f>
        <v>0.9733688415446072</v>
      </c>
      <c r="I222" s="44">
        <f t="shared" si="18"/>
        <v>5200</v>
      </c>
      <c r="J222" s="44">
        <v>5400</v>
      </c>
      <c r="K222" s="44">
        <v>11.11111111111111</v>
      </c>
      <c r="L222" s="44">
        <v>3</v>
      </c>
      <c r="M222" s="44">
        <f t="shared" si="16"/>
        <v>8.11111111111111</v>
      </c>
      <c r="N222" s="44">
        <f t="shared" si="19"/>
        <v>486</v>
      </c>
      <c r="O222" s="44">
        <f t="shared" si="17"/>
        <v>3942</v>
      </c>
      <c r="Q222" s="44" t="s">
        <v>16</v>
      </c>
    </row>
    <row r="223" spans="1:17" ht="12.75">
      <c r="A223" s="45" t="s">
        <v>549</v>
      </c>
      <c r="B223" s="44" t="s">
        <v>59</v>
      </c>
      <c r="C223" s="44" t="s">
        <v>60</v>
      </c>
      <c r="E223" s="44">
        <v>0</v>
      </c>
      <c r="F223" s="44">
        <v>1991</v>
      </c>
      <c r="G223" s="44">
        <v>1991</v>
      </c>
      <c r="H223" s="46">
        <f>VLOOKUP(G223,coefficienti!A$1:C$36,2)</f>
        <v>0.6929741685820822</v>
      </c>
      <c r="I223" s="44">
        <f t="shared" si="18"/>
        <v>11700</v>
      </c>
      <c r="J223" s="44">
        <v>17000</v>
      </c>
      <c r="K223" s="44">
        <v>8</v>
      </c>
      <c r="L223" s="44">
        <v>9</v>
      </c>
      <c r="M223" s="44">
        <f t="shared" si="16"/>
        <v>0</v>
      </c>
      <c r="N223" s="44">
        <f t="shared" si="19"/>
        <v>0</v>
      </c>
      <c r="O223" s="44">
        <f t="shared" si="17"/>
        <v>0</v>
      </c>
      <c r="Q223" s="44" t="s">
        <v>16</v>
      </c>
    </row>
    <row r="224" spans="1:17" ht="12.75">
      <c r="A224" s="45" t="s">
        <v>549</v>
      </c>
      <c r="B224" s="44" t="s">
        <v>61</v>
      </c>
      <c r="C224" s="44" t="s">
        <v>62</v>
      </c>
      <c r="D224" s="44" t="s">
        <v>99</v>
      </c>
      <c r="E224" s="44">
        <v>0</v>
      </c>
      <c r="F224" s="44">
        <v>1983</v>
      </c>
      <c r="G224" s="44">
        <v>1983</v>
      </c>
      <c r="H224" s="46">
        <f>VLOOKUP(G224,coefficienti!A$1:C$36,2)</f>
        <v>0.3756967512806928</v>
      </c>
      <c r="I224" s="44">
        <f t="shared" si="18"/>
        <v>3200</v>
      </c>
      <c r="J224" s="44">
        <v>8700</v>
      </c>
      <c r="K224" s="44">
        <v>8</v>
      </c>
      <c r="L224" s="44">
        <v>17</v>
      </c>
      <c r="M224" s="44">
        <f t="shared" si="16"/>
        <v>0</v>
      </c>
      <c r="N224" s="44">
        <f t="shared" si="19"/>
        <v>0</v>
      </c>
      <c r="O224" s="44">
        <f t="shared" si="17"/>
        <v>0</v>
      </c>
      <c r="Q224" s="44" t="s">
        <v>16</v>
      </c>
    </row>
    <row r="225" spans="1:17" ht="12.75">
      <c r="A225" s="45" t="s">
        <v>549</v>
      </c>
      <c r="B225" s="44" t="s">
        <v>63</v>
      </c>
      <c r="C225" s="44" t="s">
        <v>64</v>
      </c>
      <c r="D225" s="44" t="s">
        <v>100</v>
      </c>
      <c r="E225" s="44">
        <v>0</v>
      </c>
      <c r="F225" s="44">
        <v>1991</v>
      </c>
      <c r="G225" s="44">
        <v>1991</v>
      </c>
      <c r="H225" s="46">
        <f>VLOOKUP(G225,coefficienti!A$1:C$36,2)</f>
        <v>0.6929741685820822</v>
      </c>
      <c r="I225" s="44">
        <f t="shared" si="18"/>
        <v>9000</v>
      </c>
      <c r="J225" s="44">
        <v>13000</v>
      </c>
      <c r="K225" s="44">
        <v>8</v>
      </c>
      <c r="L225" s="44">
        <v>9</v>
      </c>
      <c r="M225" s="44">
        <f t="shared" si="16"/>
        <v>0</v>
      </c>
      <c r="N225" s="44">
        <f t="shared" si="19"/>
        <v>0</v>
      </c>
      <c r="O225" s="44">
        <f t="shared" si="17"/>
        <v>0</v>
      </c>
      <c r="Q225" s="44" t="s">
        <v>16</v>
      </c>
    </row>
    <row r="226" spans="1:17" ht="12.75">
      <c r="A226" s="45" t="s">
        <v>549</v>
      </c>
      <c r="B226" s="44" t="s">
        <v>101</v>
      </c>
      <c r="C226" s="44" t="s">
        <v>73</v>
      </c>
      <c r="D226" s="44" t="s">
        <v>102</v>
      </c>
      <c r="E226" s="44">
        <v>0</v>
      </c>
      <c r="F226" s="44">
        <v>1983</v>
      </c>
      <c r="G226" s="44">
        <v>1983</v>
      </c>
      <c r="H226" s="46">
        <f>VLOOKUP(G226,coefficienti!A$1:C$36,2)</f>
        <v>0.3756967512806928</v>
      </c>
      <c r="I226" s="44">
        <f t="shared" si="18"/>
        <v>1700</v>
      </c>
      <c r="J226" s="44">
        <v>4700</v>
      </c>
      <c r="K226" s="44">
        <v>8</v>
      </c>
      <c r="L226" s="44">
        <v>17</v>
      </c>
      <c r="M226" s="44">
        <f t="shared" si="16"/>
        <v>0</v>
      </c>
      <c r="N226" s="44">
        <f t="shared" si="19"/>
        <v>0</v>
      </c>
      <c r="O226" s="44">
        <f t="shared" si="17"/>
        <v>0</v>
      </c>
      <c r="Q226" s="44" t="s">
        <v>16</v>
      </c>
    </row>
    <row r="227" spans="1:17" ht="12.75">
      <c r="A227" s="45" t="s">
        <v>549</v>
      </c>
      <c r="B227" s="44" t="s">
        <v>103</v>
      </c>
      <c r="C227" s="44" t="s">
        <v>73</v>
      </c>
      <c r="D227" s="44" t="s">
        <v>102</v>
      </c>
      <c r="E227" s="44">
        <v>0</v>
      </c>
      <c r="F227" s="44">
        <v>1988</v>
      </c>
      <c r="G227" s="44">
        <v>1988</v>
      </c>
      <c r="H227" s="46">
        <f>VLOOKUP(G227,coefficienti!A$1:C$36,2)</f>
        <v>0.5925029864366423</v>
      </c>
      <c r="I227" s="44">
        <f t="shared" si="18"/>
        <v>2700</v>
      </c>
      <c r="J227" s="44">
        <v>4700</v>
      </c>
      <c r="K227" s="44">
        <v>8</v>
      </c>
      <c r="L227" s="44">
        <v>12</v>
      </c>
      <c r="M227" s="44">
        <f t="shared" si="16"/>
        <v>0</v>
      </c>
      <c r="N227" s="44">
        <f t="shared" si="19"/>
        <v>0</v>
      </c>
      <c r="O227" s="44">
        <f t="shared" si="17"/>
        <v>0</v>
      </c>
      <c r="Q227" s="44" t="s">
        <v>16</v>
      </c>
    </row>
    <row r="228" spans="1:17" ht="12.75">
      <c r="A228" s="45" t="s">
        <v>549</v>
      </c>
      <c r="B228" s="44" t="s">
        <v>104</v>
      </c>
      <c r="C228" s="44" t="s">
        <v>73</v>
      </c>
      <c r="D228" s="44" t="s">
        <v>105</v>
      </c>
      <c r="E228" s="44">
        <v>0</v>
      </c>
      <c r="F228" s="44">
        <v>1995</v>
      </c>
      <c r="G228" s="44">
        <v>1995</v>
      </c>
      <c r="H228" s="46">
        <f>VLOOKUP(G228,coefficienti!A$1:C$36,2)</f>
        <v>0.8794940079893475</v>
      </c>
      <c r="I228" s="44">
        <f t="shared" si="18"/>
        <v>4100</v>
      </c>
      <c r="J228" s="44">
        <v>4700</v>
      </c>
      <c r="K228" s="44">
        <v>8</v>
      </c>
      <c r="L228" s="44">
        <v>5</v>
      </c>
      <c r="M228" s="44">
        <f t="shared" si="16"/>
        <v>3</v>
      </c>
      <c r="N228" s="44">
        <f t="shared" si="19"/>
        <v>587.5</v>
      </c>
      <c r="O228" s="44">
        <f t="shared" si="17"/>
        <v>1762.5</v>
      </c>
      <c r="Q228" s="44" t="s">
        <v>16</v>
      </c>
    </row>
    <row r="229" spans="1:17" ht="12.75">
      <c r="A229" s="45" t="s">
        <v>549</v>
      </c>
      <c r="B229" s="44" t="s">
        <v>65</v>
      </c>
      <c r="C229" s="44" t="s">
        <v>66</v>
      </c>
      <c r="D229" s="44" t="s">
        <v>106</v>
      </c>
      <c r="E229" s="44">
        <v>0</v>
      </c>
      <c r="F229" s="44">
        <v>1983</v>
      </c>
      <c r="G229" s="44">
        <v>1983</v>
      </c>
      <c r="H229" s="46">
        <f>VLOOKUP(G229,coefficienti!A$1:C$36,2)</f>
        <v>0.3756967512806928</v>
      </c>
      <c r="I229" s="44">
        <f t="shared" si="18"/>
        <v>9500</v>
      </c>
      <c r="J229" s="44">
        <v>25300</v>
      </c>
      <c r="K229" s="44">
        <v>8</v>
      </c>
      <c r="L229" s="44">
        <v>17</v>
      </c>
      <c r="M229" s="44">
        <f t="shared" si="16"/>
        <v>0</v>
      </c>
      <c r="N229" s="44">
        <f t="shared" si="19"/>
        <v>0</v>
      </c>
      <c r="O229" s="44">
        <f t="shared" si="17"/>
        <v>0</v>
      </c>
      <c r="Q229" s="44" t="s">
        <v>16</v>
      </c>
    </row>
    <row r="230" spans="1:17" ht="12.75">
      <c r="A230" s="45" t="s">
        <v>549</v>
      </c>
      <c r="B230" s="44" t="s">
        <v>74</v>
      </c>
      <c r="C230" s="44" t="s">
        <v>66</v>
      </c>
      <c r="D230" s="44" t="s">
        <v>107</v>
      </c>
      <c r="E230" s="44">
        <v>0</v>
      </c>
      <c r="F230" s="44">
        <v>1992</v>
      </c>
      <c r="G230" s="44">
        <v>1992</v>
      </c>
      <c r="H230" s="46">
        <f>VLOOKUP(G230,coefficienti!A$1:C$36,2)</f>
        <v>0.741011984021305</v>
      </c>
      <c r="I230" s="44">
        <f t="shared" si="18"/>
        <v>1700</v>
      </c>
      <c r="J230" s="44">
        <v>2300</v>
      </c>
      <c r="K230" s="44">
        <v>10</v>
      </c>
      <c r="L230" s="44">
        <v>8</v>
      </c>
      <c r="M230" s="44">
        <f t="shared" si="16"/>
        <v>2</v>
      </c>
      <c r="N230" s="44">
        <f t="shared" si="19"/>
        <v>230</v>
      </c>
      <c r="O230" s="44">
        <f t="shared" si="17"/>
        <v>460</v>
      </c>
      <c r="Q230" s="44" t="s">
        <v>16</v>
      </c>
    </row>
    <row r="231" spans="1:17" ht="12.75">
      <c r="A231" s="45" t="s">
        <v>549</v>
      </c>
      <c r="B231" s="44" t="s">
        <v>75</v>
      </c>
      <c r="C231" s="44" t="s">
        <v>66</v>
      </c>
      <c r="D231" s="44" t="s">
        <v>108</v>
      </c>
      <c r="E231" s="44">
        <v>0</v>
      </c>
      <c r="F231" s="44">
        <v>1994</v>
      </c>
      <c r="G231" s="44">
        <v>1994</v>
      </c>
      <c r="H231" s="46">
        <f>VLOOKUP(G231,coefficienti!A$1:C$36,2)</f>
        <v>0.8169107856191745</v>
      </c>
      <c r="I231" s="44">
        <f t="shared" si="18"/>
        <v>1100</v>
      </c>
      <c r="J231" s="44">
        <v>1400</v>
      </c>
      <c r="K231" s="44">
        <v>8</v>
      </c>
      <c r="L231" s="44">
        <v>6</v>
      </c>
      <c r="M231" s="44">
        <f t="shared" si="16"/>
        <v>2</v>
      </c>
      <c r="N231" s="44">
        <f t="shared" si="19"/>
        <v>175</v>
      </c>
      <c r="O231" s="44">
        <f t="shared" si="17"/>
        <v>350</v>
      </c>
      <c r="Q231" s="44" t="s">
        <v>16</v>
      </c>
    </row>
    <row r="232" spans="1:17" ht="12.75">
      <c r="A232" s="45" t="s">
        <v>549</v>
      </c>
      <c r="B232" s="44" t="s">
        <v>109</v>
      </c>
      <c r="C232" s="44" t="s">
        <v>110</v>
      </c>
      <c r="D232" s="44" t="s">
        <v>111</v>
      </c>
      <c r="E232" s="44">
        <v>0</v>
      </c>
      <c r="F232" s="44">
        <v>1996</v>
      </c>
      <c r="G232" s="44">
        <v>1996</v>
      </c>
      <c r="H232" s="46">
        <f>VLOOKUP(G232,coefficienti!A$1:C$36,2)</f>
        <v>0.9420772303595207</v>
      </c>
      <c r="I232" s="44">
        <f t="shared" si="18"/>
        <v>4000</v>
      </c>
      <c r="J232" s="44">
        <v>4300</v>
      </c>
      <c r="K232" s="44">
        <v>8</v>
      </c>
      <c r="L232" s="44">
        <v>4</v>
      </c>
      <c r="M232" s="44">
        <f t="shared" si="16"/>
        <v>4</v>
      </c>
      <c r="N232" s="44">
        <f t="shared" si="19"/>
        <v>537.5</v>
      </c>
      <c r="O232" s="44">
        <f t="shared" si="17"/>
        <v>2150</v>
      </c>
      <c r="Q232" s="44" t="s">
        <v>16</v>
      </c>
    </row>
    <row r="233" spans="1:17" ht="12.75">
      <c r="A233" s="45" t="s">
        <v>549</v>
      </c>
      <c r="B233" s="44" t="s">
        <v>112</v>
      </c>
      <c r="C233" s="44" t="s">
        <v>110</v>
      </c>
      <c r="D233" s="44" t="s">
        <v>113</v>
      </c>
      <c r="E233" s="44">
        <v>0</v>
      </c>
      <c r="F233" s="44">
        <v>1983</v>
      </c>
      <c r="G233" s="44">
        <v>1983</v>
      </c>
      <c r="H233" s="46">
        <f>VLOOKUP(G233,coefficienti!A$1:C$36,2)</f>
        <v>0.3756967512806928</v>
      </c>
      <c r="I233" s="44">
        <f t="shared" si="18"/>
        <v>1600</v>
      </c>
      <c r="J233" s="44">
        <v>4300</v>
      </c>
      <c r="K233" s="44">
        <v>8</v>
      </c>
      <c r="L233" s="44">
        <v>17</v>
      </c>
      <c r="M233" s="44">
        <f t="shared" si="16"/>
        <v>0</v>
      </c>
      <c r="N233" s="44">
        <f t="shared" si="19"/>
        <v>0</v>
      </c>
      <c r="O233" s="44">
        <f t="shared" si="17"/>
        <v>0</v>
      </c>
      <c r="Q233" s="44" t="s">
        <v>16</v>
      </c>
    </row>
    <row r="234" spans="1:17" ht="12.75">
      <c r="A234" s="45" t="s">
        <v>549</v>
      </c>
      <c r="B234" s="44" t="s">
        <v>114</v>
      </c>
      <c r="C234" s="44" t="s">
        <v>115</v>
      </c>
      <c r="D234" s="44" t="s">
        <v>116</v>
      </c>
      <c r="E234" s="44">
        <v>0</v>
      </c>
      <c r="F234" s="44">
        <v>1983</v>
      </c>
      <c r="G234" s="44">
        <v>1983</v>
      </c>
      <c r="H234" s="46">
        <f>VLOOKUP(G234,coefficienti!A$1:C$36,2)</f>
        <v>0.3756967512806928</v>
      </c>
      <c r="I234" s="44">
        <f t="shared" si="18"/>
        <v>1300</v>
      </c>
      <c r="J234" s="44">
        <v>3600</v>
      </c>
      <c r="K234" s="44">
        <v>8</v>
      </c>
      <c r="L234" s="44">
        <v>17</v>
      </c>
      <c r="M234" s="44">
        <f t="shared" si="16"/>
        <v>0</v>
      </c>
      <c r="N234" s="44">
        <f t="shared" si="19"/>
        <v>0</v>
      </c>
      <c r="O234" s="44">
        <f t="shared" si="17"/>
        <v>0</v>
      </c>
      <c r="Q234" s="44" t="s">
        <v>16</v>
      </c>
    </row>
    <row r="235" spans="1:17" ht="12.75">
      <c r="A235" s="45" t="s">
        <v>549</v>
      </c>
      <c r="B235" s="44" t="s">
        <v>52</v>
      </c>
      <c r="C235" s="44" t="s">
        <v>53</v>
      </c>
      <c r="D235" s="44" t="s">
        <v>117</v>
      </c>
      <c r="E235" s="44">
        <v>0</v>
      </c>
      <c r="F235" s="44">
        <v>1975</v>
      </c>
      <c r="G235" s="44">
        <v>1975</v>
      </c>
      <c r="H235" s="46">
        <f>VLOOKUP(G235,coefficienti!A$1:C$36,2)</f>
        <v>0.11709047543265562</v>
      </c>
      <c r="I235" s="44">
        <f>INT(J235*H235/10)*10</f>
        <v>80</v>
      </c>
      <c r="J235" s="44">
        <v>700</v>
      </c>
      <c r="K235" s="44">
        <v>11.11111111111111</v>
      </c>
      <c r="L235" s="44">
        <v>25</v>
      </c>
      <c r="M235" s="44">
        <f t="shared" si="16"/>
        <v>0</v>
      </c>
      <c r="N235" s="44">
        <f t="shared" si="19"/>
        <v>0</v>
      </c>
      <c r="O235" s="44">
        <f t="shared" si="17"/>
        <v>0</v>
      </c>
      <c r="Q235" s="44" t="s">
        <v>16</v>
      </c>
    </row>
    <row r="236" spans="1:17" ht="12.75">
      <c r="A236" s="45" t="s">
        <v>549</v>
      </c>
      <c r="B236" s="44" t="s">
        <v>54</v>
      </c>
      <c r="C236" s="44" t="s">
        <v>53</v>
      </c>
      <c r="D236" s="44" t="s">
        <v>118</v>
      </c>
      <c r="E236" s="44">
        <v>0</v>
      </c>
      <c r="F236" s="44">
        <v>1989</v>
      </c>
      <c r="G236" s="44">
        <v>1989</v>
      </c>
      <c r="H236" s="46">
        <f>VLOOKUP(G236,coefficienti!A$1:C$36,2)</f>
        <v>0.6322885673363403</v>
      </c>
      <c r="I236" s="44">
        <f>INT(J236*H236/100)*100</f>
        <v>600</v>
      </c>
      <c r="J236" s="44">
        <v>1100</v>
      </c>
      <c r="K236" s="44">
        <v>11.11111111111111</v>
      </c>
      <c r="L236" s="44">
        <v>11</v>
      </c>
      <c r="M236" s="44">
        <f t="shared" si="16"/>
        <v>0.11111111111111072</v>
      </c>
      <c r="N236" s="44">
        <f t="shared" si="19"/>
        <v>99</v>
      </c>
      <c r="O236" s="44">
        <f t="shared" si="17"/>
        <v>10.999999999999961</v>
      </c>
      <c r="Q236" s="44" t="s">
        <v>16</v>
      </c>
    </row>
    <row r="237" spans="1:17" ht="12.75">
      <c r="A237" s="45" t="s">
        <v>549</v>
      </c>
      <c r="B237" s="44" t="s">
        <v>37</v>
      </c>
      <c r="C237" s="44" t="s">
        <v>38</v>
      </c>
      <c r="E237" s="44">
        <v>0</v>
      </c>
      <c r="F237" s="44">
        <v>0</v>
      </c>
      <c r="G237" s="44">
        <v>0</v>
      </c>
      <c r="H237" s="46">
        <v>0.6</v>
      </c>
      <c r="I237" s="44">
        <f>INT(J237*H237/100)*100</f>
        <v>4300</v>
      </c>
      <c r="J237" s="44">
        <v>7200</v>
      </c>
      <c r="K237" s="44">
        <v>11.11111111111111</v>
      </c>
      <c r="L237" s="44">
        <v>4</v>
      </c>
      <c r="M237" s="44">
        <f t="shared" si="16"/>
        <v>7.111111111111111</v>
      </c>
      <c r="N237" s="44">
        <f t="shared" si="19"/>
        <v>648</v>
      </c>
      <c r="O237" s="44">
        <f t="shared" si="17"/>
        <v>4608</v>
      </c>
      <c r="Q237" s="44" t="s">
        <v>16</v>
      </c>
    </row>
    <row r="238" spans="1:17" ht="12.75">
      <c r="A238" s="45" t="s">
        <v>549</v>
      </c>
      <c r="B238" s="44" t="s">
        <v>119</v>
      </c>
      <c r="C238" s="44" t="s">
        <v>120</v>
      </c>
      <c r="D238" s="44" t="s">
        <v>121</v>
      </c>
      <c r="E238" s="44">
        <v>0</v>
      </c>
      <c r="F238" s="44">
        <v>1983</v>
      </c>
      <c r="G238" s="44">
        <v>1983</v>
      </c>
      <c r="H238" s="46">
        <f>VLOOKUP(G238,coefficienti!A$1:C$36,2)</f>
        <v>0.3756967512806928</v>
      </c>
      <c r="I238" s="44">
        <f>INT(J238*H238/100)*100</f>
        <v>3200</v>
      </c>
      <c r="J238" s="44">
        <v>8700</v>
      </c>
      <c r="K238" s="44">
        <v>8</v>
      </c>
      <c r="L238" s="44">
        <v>17</v>
      </c>
      <c r="M238" s="44">
        <f t="shared" si="16"/>
        <v>0</v>
      </c>
      <c r="N238" s="44">
        <f t="shared" si="19"/>
        <v>0</v>
      </c>
      <c r="O238" s="44">
        <f t="shared" si="17"/>
        <v>0</v>
      </c>
      <c r="Q238" s="44" t="s">
        <v>16</v>
      </c>
    </row>
    <row r="239" spans="1:17" ht="12.75">
      <c r="A239" s="45" t="s">
        <v>549</v>
      </c>
      <c r="B239" s="44" t="s">
        <v>122</v>
      </c>
      <c r="C239" s="44" t="s">
        <v>120</v>
      </c>
      <c r="D239" s="44" t="s">
        <v>121</v>
      </c>
      <c r="E239" s="44">
        <v>0</v>
      </c>
      <c r="F239" s="44">
        <v>1988</v>
      </c>
      <c r="G239" s="44">
        <v>1988</v>
      </c>
      <c r="H239" s="46">
        <f>VLOOKUP(G239,coefficienti!A$1:C$36,2)</f>
        <v>0.5925029864366423</v>
      </c>
      <c r="I239" s="44">
        <f>INT(J239*H239/100)*100</f>
        <v>5100</v>
      </c>
      <c r="J239" s="44">
        <v>8700</v>
      </c>
      <c r="K239" s="44">
        <v>8</v>
      </c>
      <c r="L239" s="44">
        <v>12</v>
      </c>
      <c r="M239" s="44">
        <f t="shared" si="16"/>
        <v>0</v>
      </c>
      <c r="N239" s="44">
        <f t="shared" si="19"/>
        <v>0</v>
      </c>
      <c r="O239" s="44">
        <f t="shared" si="17"/>
        <v>0</v>
      </c>
      <c r="Q239" s="44" t="s">
        <v>16</v>
      </c>
    </row>
    <row r="240" spans="1:17" ht="12.75">
      <c r="A240" s="45" t="s">
        <v>549</v>
      </c>
      <c r="B240" s="44" t="s">
        <v>39</v>
      </c>
      <c r="C240" s="44" t="s">
        <v>40</v>
      </c>
      <c r="D240" s="44" t="s">
        <v>123</v>
      </c>
      <c r="E240" s="44">
        <v>0</v>
      </c>
      <c r="F240" s="44">
        <v>1983</v>
      </c>
      <c r="G240" s="44">
        <v>1983</v>
      </c>
      <c r="H240" s="46">
        <f>VLOOKUP(G240,coefficienti!A$1:C$36,2)</f>
        <v>0.3756967512806928</v>
      </c>
      <c r="I240" s="44">
        <f>INT(J240*H240/100)*100</f>
        <v>3200</v>
      </c>
      <c r="J240" s="44">
        <v>8700</v>
      </c>
      <c r="K240" s="44">
        <v>11.11111111111111</v>
      </c>
      <c r="L240" s="44">
        <v>17</v>
      </c>
      <c r="M240" s="44">
        <f t="shared" si="16"/>
        <v>0</v>
      </c>
      <c r="N240" s="44">
        <f t="shared" si="19"/>
        <v>0</v>
      </c>
      <c r="O240" s="44">
        <f t="shared" si="17"/>
        <v>0</v>
      </c>
      <c r="Q240" s="44" t="s">
        <v>16</v>
      </c>
    </row>
    <row r="241" spans="3:15" ht="12.75">
      <c r="C241" s="44" t="s">
        <v>340</v>
      </c>
      <c r="I241" s="44">
        <f>SUM(I198:I240)</f>
        <v>314880</v>
      </c>
      <c r="J241" s="44">
        <f>SUM(J198:J240)</f>
        <v>445800</v>
      </c>
      <c r="N241" s="44">
        <f>SUM(N198:N240)</f>
        <v>28591</v>
      </c>
      <c r="O241" s="44">
        <f>SUM(O198:O240)</f>
        <v>120950.99999999999</v>
      </c>
    </row>
    <row r="242" spans="3:15" ht="12.75">
      <c r="C242" s="44" t="s">
        <v>341</v>
      </c>
      <c r="I242" s="44">
        <f>+I241-SUM(I238:I240,I233:I236,I229,I223:I227,I216,I211,I207,I198)</f>
        <v>233700</v>
      </c>
      <c r="J242" s="44">
        <f>+J241-SUM(J238:J240,J233:J236,J229,J223:J227,J216,J211,J207,J198)</f>
        <v>287500</v>
      </c>
      <c r="N242" s="47">
        <f>+N241/I241</f>
        <v>0.09079966971544716</v>
      </c>
      <c r="O242" s="49">
        <f>+N241/J241</f>
        <v>0.06413414087034544</v>
      </c>
    </row>
    <row r="243" spans="3:15" ht="12.75">
      <c r="C243" s="44" t="s">
        <v>454</v>
      </c>
      <c r="I243" s="44">
        <f>+I242-O241</f>
        <v>112749.00000000001</v>
      </c>
      <c r="J243" s="44">
        <f>+J242-O241</f>
        <v>166549</v>
      </c>
      <c r="N243" s="48">
        <f>+N241/I242</f>
        <v>0.12234060761660248</v>
      </c>
      <c r="O243" s="48">
        <f>+N241/J242</f>
        <v>0.09944695652173913</v>
      </c>
    </row>
    <row r="245" ht="12.75">
      <c r="A245" s="44" t="s">
        <v>348</v>
      </c>
    </row>
    <row r="246" spans="1:17" ht="12.75">
      <c r="A246" s="44" t="s">
        <v>1</v>
      </c>
      <c r="B246" s="44" t="s">
        <v>2</v>
      </c>
      <c r="C246" s="44" t="s">
        <v>3</v>
      </c>
      <c r="D246" s="44" t="s">
        <v>15</v>
      </c>
      <c r="E246" s="44" t="s">
        <v>4</v>
      </c>
      <c r="F246" s="44" t="s">
        <v>5</v>
      </c>
      <c r="G246" s="44" t="s">
        <v>6</v>
      </c>
      <c r="H246" s="44" t="s">
        <v>338</v>
      </c>
      <c r="I246" s="44" t="s">
        <v>339</v>
      </c>
      <c r="J246" s="44" t="s">
        <v>7</v>
      </c>
      <c r="K246" s="44" t="s">
        <v>9</v>
      </c>
      <c r="L246" s="44" t="s">
        <v>10</v>
      </c>
      <c r="M246" s="44" t="s">
        <v>8</v>
      </c>
      <c r="N246" s="44" t="s">
        <v>11</v>
      </c>
      <c r="O246" s="44" t="s">
        <v>12</v>
      </c>
      <c r="P246" s="44" t="s">
        <v>13</v>
      </c>
      <c r="Q246" s="44" t="s">
        <v>14</v>
      </c>
    </row>
    <row r="247" spans="1:17" ht="12.75">
      <c r="A247" s="45" t="s">
        <v>549</v>
      </c>
      <c r="B247" s="44" t="s">
        <v>17</v>
      </c>
      <c r="C247" s="44" t="s">
        <v>18</v>
      </c>
      <c r="D247" s="44" t="s">
        <v>80</v>
      </c>
      <c r="E247" s="44">
        <v>67</v>
      </c>
      <c r="F247" s="44">
        <v>1986</v>
      </c>
      <c r="G247" s="44">
        <v>1986</v>
      </c>
      <c r="H247" s="46">
        <f>VLOOKUP(G247,coefficienti!A$1:C$36,2)</f>
        <v>0.5396234168864108</v>
      </c>
      <c r="I247" s="44">
        <f>INT(J247*H247/100)*100</f>
        <v>15500</v>
      </c>
      <c r="J247" s="44">
        <v>28900</v>
      </c>
      <c r="K247" s="44">
        <v>22.22222222222222</v>
      </c>
      <c r="L247" s="44">
        <v>14</v>
      </c>
      <c r="M247" s="44">
        <f aca="true" t="shared" si="20" ref="M247:M289">IF(L247&gt;K247,0,K247-L247)</f>
        <v>8.222222222222221</v>
      </c>
      <c r="N247" s="44">
        <f>IF((L247&gt;K247),0,J247/K247)</f>
        <v>1300.5</v>
      </c>
      <c r="O247" s="44">
        <f aca="true" t="shared" si="21" ref="O247:O289">+N247*M247</f>
        <v>10692.999999999998</v>
      </c>
      <c r="Q247" s="44" t="s">
        <v>16</v>
      </c>
    </row>
    <row r="248" spans="1:17" ht="12.75">
      <c r="A248" s="45" t="s">
        <v>549</v>
      </c>
      <c r="B248" s="44" t="s">
        <v>19</v>
      </c>
      <c r="C248" s="44" t="s">
        <v>18</v>
      </c>
      <c r="D248" s="44" t="s">
        <v>81</v>
      </c>
      <c r="E248" s="44">
        <v>100</v>
      </c>
      <c r="F248" s="44">
        <v>1993</v>
      </c>
      <c r="G248" s="44">
        <v>1991</v>
      </c>
      <c r="H248" s="46">
        <f>VLOOKUP(G248,coefficienti!A$1:C$36,2)</f>
        <v>0.6929741685820822</v>
      </c>
      <c r="I248" s="44">
        <f aca="true" t="shared" si="22" ref="I248:I283">INT(J248*H248/100)*100</f>
        <v>42600</v>
      </c>
      <c r="J248" s="44">
        <v>61500</v>
      </c>
      <c r="K248" s="44">
        <v>22.22222222222222</v>
      </c>
      <c r="L248" s="44">
        <v>9</v>
      </c>
      <c r="M248" s="44">
        <f t="shared" si="20"/>
        <v>13.222222222222221</v>
      </c>
      <c r="N248" s="44">
        <f aca="true" t="shared" si="23" ref="N248:N289">IF((L248&gt;K248),0,J248/K248)</f>
        <v>2767.5</v>
      </c>
      <c r="O248" s="44">
        <f t="shared" si="21"/>
        <v>36592.5</v>
      </c>
      <c r="Q248" s="44" t="s">
        <v>16</v>
      </c>
    </row>
    <row r="249" spans="1:17" ht="12.75">
      <c r="A249" s="45" t="s">
        <v>549</v>
      </c>
      <c r="B249" s="44" t="s">
        <v>55</v>
      </c>
      <c r="C249" s="44" t="s">
        <v>18</v>
      </c>
      <c r="D249" s="44" t="s">
        <v>81</v>
      </c>
      <c r="E249" s="44">
        <v>100</v>
      </c>
      <c r="F249" s="44">
        <v>1993</v>
      </c>
      <c r="G249" s="44">
        <v>1993</v>
      </c>
      <c r="H249" s="46">
        <f>VLOOKUP(G249,coefficienti!A$1:C$36,2)</f>
        <v>0.7876165113182424</v>
      </c>
      <c r="I249" s="44">
        <f t="shared" si="22"/>
        <v>48400</v>
      </c>
      <c r="J249" s="44">
        <v>61500</v>
      </c>
      <c r="K249" s="44">
        <v>22.22222222222222</v>
      </c>
      <c r="L249" s="44">
        <v>7</v>
      </c>
      <c r="M249" s="44">
        <f t="shared" si="20"/>
        <v>15.222222222222221</v>
      </c>
      <c r="N249" s="44">
        <f t="shared" si="23"/>
        <v>2767.5</v>
      </c>
      <c r="O249" s="44">
        <f t="shared" si="21"/>
        <v>42127.5</v>
      </c>
      <c r="Q249" s="44" t="s">
        <v>16</v>
      </c>
    </row>
    <row r="250" spans="1:17" ht="12.75">
      <c r="A250" s="45" t="s">
        <v>549</v>
      </c>
      <c r="B250" s="44" t="s">
        <v>20</v>
      </c>
      <c r="C250" s="44" t="s">
        <v>21</v>
      </c>
      <c r="D250" s="44" t="s">
        <v>82</v>
      </c>
      <c r="E250" s="44">
        <v>8</v>
      </c>
      <c r="F250" s="44">
        <v>1990</v>
      </c>
      <c r="G250" s="44">
        <v>1990</v>
      </c>
      <c r="H250" s="46">
        <f>VLOOKUP(G250,coefficienti!A$1:C$36,2)</f>
        <v>0.6657789613848203</v>
      </c>
      <c r="I250" s="44">
        <f t="shared" si="22"/>
        <v>1600</v>
      </c>
      <c r="J250" s="44">
        <v>2500</v>
      </c>
      <c r="K250" s="44">
        <v>22.22222222222222</v>
      </c>
      <c r="L250" s="44">
        <v>10</v>
      </c>
      <c r="M250" s="44">
        <f t="shared" si="20"/>
        <v>12.222222222222221</v>
      </c>
      <c r="N250" s="44">
        <f t="shared" si="23"/>
        <v>112.5</v>
      </c>
      <c r="O250" s="44">
        <f t="shared" si="21"/>
        <v>1375</v>
      </c>
      <c r="Q250" s="44" t="s">
        <v>16</v>
      </c>
    </row>
    <row r="251" spans="1:17" ht="12.75">
      <c r="A251" s="45" t="s">
        <v>549</v>
      </c>
      <c r="B251" s="44" t="s">
        <v>41</v>
      </c>
      <c r="C251" s="44" t="s">
        <v>42</v>
      </c>
      <c r="E251" s="44">
        <v>0</v>
      </c>
      <c r="F251" s="44">
        <v>1992</v>
      </c>
      <c r="G251" s="44">
        <v>1992</v>
      </c>
      <c r="H251" s="46">
        <f>VLOOKUP(G251,coefficienti!A$1:C$36,2)</f>
        <v>0.741011984021305</v>
      </c>
      <c r="I251" s="44">
        <f t="shared" si="22"/>
        <v>1600</v>
      </c>
      <c r="J251" s="44">
        <v>2200</v>
      </c>
      <c r="K251" s="44">
        <v>22.22222222222222</v>
      </c>
      <c r="L251" s="44">
        <v>8</v>
      </c>
      <c r="M251" s="44">
        <f t="shared" si="20"/>
        <v>14.222222222222221</v>
      </c>
      <c r="N251" s="44">
        <f t="shared" si="23"/>
        <v>99</v>
      </c>
      <c r="O251" s="44">
        <f t="shared" si="21"/>
        <v>1408</v>
      </c>
      <c r="Q251" s="44" t="s">
        <v>16</v>
      </c>
    </row>
    <row r="252" spans="1:17" ht="12.75">
      <c r="A252" s="45" t="s">
        <v>549</v>
      </c>
      <c r="B252" s="44" t="s">
        <v>22</v>
      </c>
      <c r="C252" s="44" t="s">
        <v>23</v>
      </c>
      <c r="E252" s="44">
        <v>0</v>
      </c>
      <c r="F252" s="44">
        <v>1998</v>
      </c>
      <c r="G252" s="44">
        <v>1998</v>
      </c>
      <c r="H252" s="46">
        <f>VLOOKUP(G252,coefficienti!A$1:C$36,2)</f>
        <v>0.9880159786950733</v>
      </c>
      <c r="I252" s="44">
        <f t="shared" si="22"/>
        <v>6400</v>
      </c>
      <c r="J252" s="44">
        <v>6500</v>
      </c>
      <c r="K252" s="44">
        <v>22.22222222222222</v>
      </c>
      <c r="L252" s="44">
        <v>2</v>
      </c>
      <c r="M252" s="44">
        <f t="shared" si="20"/>
        <v>20.22222222222222</v>
      </c>
      <c r="N252" s="44">
        <f t="shared" si="23"/>
        <v>292.5</v>
      </c>
      <c r="O252" s="44">
        <f t="shared" si="21"/>
        <v>5915</v>
      </c>
      <c r="Q252" s="44" t="s">
        <v>16</v>
      </c>
    </row>
    <row r="253" spans="1:17" ht="12.75">
      <c r="A253" s="45" t="s">
        <v>549</v>
      </c>
      <c r="B253" s="44" t="s">
        <v>24</v>
      </c>
      <c r="C253" s="44" t="s">
        <v>25</v>
      </c>
      <c r="D253" s="44" t="s">
        <v>83</v>
      </c>
      <c r="E253" s="44">
        <v>0</v>
      </c>
      <c r="F253" s="44">
        <v>1999</v>
      </c>
      <c r="G253" s="44">
        <v>1999</v>
      </c>
      <c r="H253" s="46">
        <f>VLOOKUP(G253,coefficienti!A$1:C$36,2)</f>
        <v>0.9919551708832667</v>
      </c>
      <c r="I253" s="44">
        <f t="shared" si="22"/>
        <v>3900</v>
      </c>
      <c r="J253" s="44">
        <v>4000</v>
      </c>
      <c r="K253" s="44">
        <v>22.22222222222222</v>
      </c>
      <c r="L253" s="44">
        <v>1</v>
      </c>
      <c r="M253" s="44">
        <f t="shared" si="20"/>
        <v>21.22222222222222</v>
      </c>
      <c r="N253" s="44">
        <f t="shared" si="23"/>
        <v>180</v>
      </c>
      <c r="O253" s="44">
        <f t="shared" si="21"/>
        <v>3820</v>
      </c>
      <c r="Q253" s="44" t="s">
        <v>16</v>
      </c>
    </row>
    <row r="254" spans="1:17" ht="12.75">
      <c r="A254" s="45" t="s">
        <v>549</v>
      </c>
      <c r="B254" s="44" t="s">
        <v>77</v>
      </c>
      <c r="C254" s="44" t="s">
        <v>78</v>
      </c>
      <c r="D254" s="44" t="s">
        <v>84</v>
      </c>
      <c r="E254" s="44">
        <v>0</v>
      </c>
      <c r="F254" s="44">
        <v>1998</v>
      </c>
      <c r="G254" s="44">
        <v>1998</v>
      </c>
      <c r="H254" s="46">
        <f>VLOOKUP(G254,coefficienti!A$1:C$36,2)</f>
        <v>0.9880159786950733</v>
      </c>
      <c r="I254" s="44">
        <f t="shared" si="22"/>
        <v>2800</v>
      </c>
      <c r="J254" s="44">
        <v>2900</v>
      </c>
      <c r="K254" s="44">
        <v>22.22222222222222</v>
      </c>
      <c r="L254" s="44">
        <v>2</v>
      </c>
      <c r="M254" s="44">
        <f t="shared" si="20"/>
        <v>20.22222222222222</v>
      </c>
      <c r="N254" s="44">
        <f t="shared" si="23"/>
        <v>130.5</v>
      </c>
      <c r="O254" s="44">
        <f t="shared" si="21"/>
        <v>2639</v>
      </c>
      <c r="Q254" s="44" t="s">
        <v>16</v>
      </c>
    </row>
    <row r="255" spans="1:17" ht="12.75">
      <c r="A255" s="45" t="s">
        <v>549</v>
      </c>
      <c r="B255" s="44" t="s">
        <v>28</v>
      </c>
      <c r="C255" s="44" t="s">
        <v>29</v>
      </c>
      <c r="E255" s="44">
        <v>0</v>
      </c>
      <c r="F255" s="44">
        <v>1996</v>
      </c>
      <c r="G255" s="44">
        <v>1996</v>
      </c>
      <c r="H255" s="46">
        <f>VLOOKUP(G255,coefficienti!A$1:C$36,2)</f>
        <v>0.9420772303595207</v>
      </c>
      <c r="I255" s="44">
        <f t="shared" si="22"/>
        <v>1200</v>
      </c>
      <c r="J255" s="44">
        <v>1300</v>
      </c>
      <c r="K255" s="44">
        <v>22.22222222222222</v>
      </c>
      <c r="L255" s="44">
        <v>4</v>
      </c>
      <c r="M255" s="44">
        <f t="shared" si="20"/>
        <v>18.22222222222222</v>
      </c>
      <c r="N255" s="44">
        <f t="shared" si="23"/>
        <v>58.5</v>
      </c>
      <c r="O255" s="44">
        <f t="shared" si="21"/>
        <v>1066</v>
      </c>
      <c r="Q255" s="44" t="s">
        <v>16</v>
      </c>
    </row>
    <row r="256" spans="1:17" ht="12.75">
      <c r="A256" s="45" t="s">
        <v>549</v>
      </c>
      <c r="B256" s="44" t="s">
        <v>43</v>
      </c>
      <c r="C256" s="44" t="s">
        <v>30</v>
      </c>
      <c r="E256" s="44">
        <v>0</v>
      </c>
      <c r="F256" s="44">
        <v>1985</v>
      </c>
      <c r="G256" s="44">
        <v>1985</v>
      </c>
      <c r="H256" s="46">
        <f>VLOOKUP(G256,coefficienti!A$1:C$36,2)</f>
        <v>0.5046221779936384</v>
      </c>
      <c r="I256" s="44">
        <f t="shared" si="22"/>
        <v>2500</v>
      </c>
      <c r="J256" s="44">
        <v>5100</v>
      </c>
      <c r="K256" s="44">
        <v>22.22222222222222</v>
      </c>
      <c r="L256" s="44">
        <v>15</v>
      </c>
      <c r="M256" s="44">
        <f t="shared" si="20"/>
        <v>7.222222222222221</v>
      </c>
      <c r="N256" s="44">
        <f t="shared" si="23"/>
        <v>229.5</v>
      </c>
      <c r="O256" s="44">
        <f t="shared" si="21"/>
        <v>1657.4999999999998</v>
      </c>
      <c r="Q256" s="44" t="s">
        <v>16</v>
      </c>
    </row>
    <row r="257" spans="1:17" ht="12.75">
      <c r="A257" s="45" t="s">
        <v>549</v>
      </c>
      <c r="B257" s="44" t="s">
        <v>68</v>
      </c>
      <c r="C257" s="44" t="s">
        <v>67</v>
      </c>
      <c r="D257" s="44" t="s">
        <v>85</v>
      </c>
      <c r="E257" s="44">
        <v>0</v>
      </c>
      <c r="F257" s="44">
        <v>1990</v>
      </c>
      <c r="G257" s="44">
        <v>1990</v>
      </c>
      <c r="H257" s="46">
        <f>VLOOKUP(G257,coefficienti!A$1:C$36,2)</f>
        <v>0.6657789613848203</v>
      </c>
      <c r="I257" s="44">
        <f t="shared" si="22"/>
        <v>3800</v>
      </c>
      <c r="J257" s="44">
        <v>5800</v>
      </c>
      <c r="K257" s="44">
        <v>22.22222222222222</v>
      </c>
      <c r="L257" s="44">
        <v>10</v>
      </c>
      <c r="M257" s="44">
        <f t="shared" si="20"/>
        <v>12.222222222222221</v>
      </c>
      <c r="N257" s="44">
        <f t="shared" si="23"/>
        <v>261</v>
      </c>
      <c r="O257" s="44">
        <f t="shared" si="21"/>
        <v>3190</v>
      </c>
      <c r="Q257" s="44" t="s">
        <v>16</v>
      </c>
    </row>
    <row r="258" spans="1:17" ht="12.75">
      <c r="A258" s="45" t="s">
        <v>549</v>
      </c>
      <c r="B258" s="44" t="s">
        <v>69</v>
      </c>
      <c r="C258" s="44" t="s">
        <v>67</v>
      </c>
      <c r="D258" s="44" t="s">
        <v>86</v>
      </c>
      <c r="E258" s="44">
        <v>0</v>
      </c>
      <c r="F258" s="44">
        <v>1995</v>
      </c>
      <c r="G258" s="44">
        <v>1995</v>
      </c>
      <c r="H258" s="46">
        <f>VLOOKUP(G258,coefficienti!A$1:C$36,2)</f>
        <v>0.8794940079893475</v>
      </c>
      <c r="I258" s="44">
        <f t="shared" si="22"/>
        <v>5100</v>
      </c>
      <c r="J258" s="44">
        <v>5800</v>
      </c>
      <c r="K258" s="44">
        <v>22.22222222222222</v>
      </c>
      <c r="L258" s="44">
        <v>5</v>
      </c>
      <c r="M258" s="44">
        <f t="shared" si="20"/>
        <v>17.22222222222222</v>
      </c>
      <c r="N258" s="44">
        <f t="shared" si="23"/>
        <v>261</v>
      </c>
      <c r="O258" s="44">
        <f t="shared" si="21"/>
        <v>4495</v>
      </c>
      <c r="Q258" s="44" t="s">
        <v>16</v>
      </c>
    </row>
    <row r="259" spans="1:17" ht="12.75">
      <c r="A259" s="45" t="s">
        <v>549</v>
      </c>
      <c r="B259" s="44" t="s">
        <v>31</v>
      </c>
      <c r="C259" s="44" t="s">
        <v>32</v>
      </c>
      <c r="D259" s="44" t="s">
        <v>87</v>
      </c>
      <c r="E259" s="44">
        <v>0</v>
      </c>
      <c r="F259" s="44">
        <v>1996</v>
      </c>
      <c r="G259" s="44">
        <v>1996</v>
      </c>
      <c r="H259" s="46">
        <f>VLOOKUP(G259,coefficienti!A$1:C$36,2)</f>
        <v>0.9420772303595207</v>
      </c>
      <c r="I259" s="44">
        <f t="shared" si="22"/>
        <v>9800</v>
      </c>
      <c r="J259" s="44">
        <v>10500</v>
      </c>
      <c r="K259" s="44">
        <v>16</v>
      </c>
      <c r="L259" s="44">
        <v>4</v>
      </c>
      <c r="M259" s="44">
        <f t="shared" si="20"/>
        <v>12</v>
      </c>
      <c r="N259" s="44">
        <f t="shared" si="23"/>
        <v>656.25</v>
      </c>
      <c r="O259" s="44">
        <f t="shared" si="21"/>
        <v>7875</v>
      </c>
      <c r="Q259" s="44" t="s">
        <v>16</v>
      </c>
    </row>
    <row r="260" spans="1:17" ht="12.75">
      <c r="A260" s="45" t="s">
        <v>549</v>
      </c>
      <c r="B260" s="44" t="s">
        <v>88</v>
      </c>
      <c r="C260" s="44" t="s">
        <v>57</v>
      </c>
      <c r="E260" s="44">
        <v>0</v>
      </c>
      <c r="F260" s="44">
        <v>1990</v>
      </c>
      <c r="G260" s="44">
        <v>1990</v>
      </c>
      <c r="H260" s="46">
        <f>VLOOKUP(G260,coefficienti!A$1:C$36,2)</f>
        <v>0.6657789613848203</v>
      </c>
      <c r="I260" s="44">
        <f t="shared" si="22"/>
        <v>6100</v>
      </c>
      <c r="J260" s="44">
        <v>9300</v>
      </c>
      <c r="K260" s="44">
        <v>16</v>
      </c>
      <c r="L260" s="44">
        <v>10</v>
      </c>
      <c r="M260" s="44">
        <f t="shared" si="20"/>
        <v>6</v>
      </c>
      <c r="N260" s="44">
        <f t="shared" si="23"/>
        <v>581.25</v>
      </c>
      <c r="O260" s="44">
        <f t="shared" si="21"/>
        <v>3487.5</v>
      </c>
      <c r="Q260" s="44" t="s">
        <v>16</v>
      </c>
    </row>
    <row r="261" spans="1:17" ht="12.75">
      <c r="A261" s="45" t="s">
        <v>549</v>
      </c>
      <c r="B261" s="44" t="s">
        <v>44</v>
      </c>
      <c r="C261" s="44" t="s">
        <v>45</v>
      </c>
      <c r="D261" s="44" t="s">
        <v>89</v>
      </c>
      <c r="E261" s="44">
        <v>0</v>
      </c>
      <c r="F261" s="44">
        <v>1995</v>
      </c>
      <c r="G261" s="44">
        <v>1995</v>
      </c>
      <c r="H261" s="46">
        <f>VLOOKUP(G261,coefficienti!A$1:C$36,2)</f>
        <v>0.8794940079893475</v>
      </c>
      <c r="I261" s="44">
        <f t="shared" si="22"/>
        <v>2100</v>
      </c>
      <c r="J261" s="44">
        <v>2500</v>
      </c>
      <c r="K261" s="44">
        <v>22.22222222222222</v>
      </c>
      <c r="L261" s="44">
        <v>5</v>
      </c>
      <c r="M261" s="44">
        <f t="shared" si="20"/>
        <v>17.22222222222222</v>
      </c>
      <c r="N261" s="44">
        <f t="shared" si="23"/>
        <v>112.5</v>
      </c>
      <c r="O261" s="44">
        <f t="shared" si="21"/>
        <v>1937.5</v>
      </c>
      <c r="Q261" s="44" t="s">
        <v>16</v>
      </c>
    </row>
    <row r="262" spans="1:17" ht="12.75">
      <c r="A262" s="45" t="s">
        <v>549</v>
      </c>
      <c r="B262" s="44" t="s">
        <v>90</v>
      </c>
      <c r="C262" s="44" t="s">
        <v>46</v>
      </c>
      <c r="D262" s="44" t="s">
        <v>91</v>
      </c>
      <c r="E262" s="44">
        <v>0</v>
      </c>
      <c r="F262" s="44">
        <v>1994</v>
      </c>
      <c r="G262" s="44">
        <v>1994</v>
      </c>
      <c r="H262" s="46">
        <f>VLOOKUP(G262,coefficienti!A$1:C$36,2)</f>
        <v>0.8169107856191745</v>
      </c>
      <c r="I262" s="44">
        <f t="shared" si="22"/>
        <v>6600</v>
      </c>
      <c r="J262" s="44">
        <v>8200</v>
      </c>
      <c r="K262" s="44">
        <v>22.22222222222222</v>
      </c>
      <c r="L262" s="44">
        <v>6</v>
      </c>
      <c r="M262" s="44">
        <f t="shared" si="20"/>
        <v>16.22222222222222</v>
      </c>
      <c r="N262" s="44">
        <f t="shared" si="23"/>
        <v>369</v>
      </c>
      <c r="O262" s="44">
        <f t="shared" si="21"/>
        <v>5986</v>
      </c>
      <c r="Q262" s="44" t="s">
        <v>16</v>
      </c>
    </row>
    <row r="263" spans="1:17" ht="12.75">
      <c r="A263" s="45" t="s">
        <v>549</v>
      </c>
      <c r="B263" s="44" t="s">
        <v>92</v>
      </c>
      <c r="C263" s="44" t="s">
        <v>46</v>
      </c>
      <c r="D263" s="44" t="s">
        <v>93</v>
      </c>
      <c r="E263" s="44">
        <v>0</v>
      </c>
      <c r="F263" s="44">
        <v>1994</v>
      </c>
      <c r="G263" s="44">
        <v>1994</v>
      </c>
      <c r="H263" s="46">
        <f>VLOOKUP(G263,coefficienti!A$1:C$36,2)</f>
        <v>0.8169107856191745</v>
      </c>
      <c r="I263" s="44">
        <f t="shared" si="22"/>
        <v>6600</v>
      </c>
      <c r="J263" s="44">
        <v>8200</v>
      </c>
      <c r="K263" s="44">
        <v>22.22222222222222</v>
      </c>
      <c r="L263" s="44">
        <v>6</v>
      </c>
      <c r="M263" s="44">
        <f t="shared" si="20"/>
        <v>16.22222222222222</v>
      </c>
      <c r="N263" s="44">
        <f t="shared" si="23"/>
        <v>369</v>
      </c>
      <c r="O263" s="44">
        <f t="shared" si="21"/>
        <v>5986</v>
      </c>
      <c r="Q263" s="44" t="s">
        <v>16</v>
      </c>
    </row>
    <row r="264" spans="1:17" ht="12.75">
      <c r="A264" s="45" t="s">
        <v>549</v>
      </c>
      <c r="B264" s="44" t="s">
        <v>94</v>
      </c>
      <c r="C264" s="44" t="s">
        <v>46</v>
      </c>
      <c r="E264" s="44">
        <v>0</v>
      </c>
      <c r="F264" s="44">
        <v>1999</v>
      </c>
      <c r="G264" s="44">
        <v>1993</v>
      </c>
      <c r="H264" s="46">
        <f>VLOOKUP(G264,coefficienti!A$1:C$36,2)</f>
        <v>0.7876165113182424</v>
      </c>
      <c r="I264" s="44">
        <f t="shared" si="22"/>
        <v>6400</v>
      </c>
      <c r="J264" s="44">
        <v>8200</v>
      </c>
      <c r="K264" s="44">
        <v>22.22222222222222</v>
      </c>
      <c r="L264" s="44">
        <v>7</v>
      </c>
      <c r="M264" s="44">
        <f t="shared" si="20"/>
        <v>15.222222222222221</v>
      </c>
      <c r="N264" s="44">
        <f t="shared" si="23"/>
        <v>369</v>
      </c>
      <c r="O264" s="44">
        <f t="shared" si="21"/>
        <v>5617</v>
      </c>
      <c r="Q264" s="44" t="s">
        <v>16</v>
      </c>
    </row>
    <row r="265" spans="1:17" ht="12.75">
      <c r="A265" s="45" t="s">
        <v>549</v>
      </c>
      <c r="B265" s="44" t="s">
        <v>33</v>
      </c>
      <c r="C265" s="44" t="s">
        <v>34</v>
      </c>
      <c r="D265" s="44" t="s">
        <v>95</v>
      </c>
      <c r="E265" s="44">
        <v>0</v>
      </c>
      <c r="F265" s="44">
        <v>1992</v>
      </c>
      <c r="G265" s="44">
        <v>1992</v>
      </c>
      <c r="H265" s="46">
        <f>VLOOKUP(G265,coefficienti!A$1:C$36,2)</f>
        <v>0.741011984021305</v>
      </c>
      <c r="I265" s="44">
        <f t="shared" si="22"/>
        <v>4200</v>
      </c>
      <c r="J265" s="44">
        <v>5800</v>
      </c>
      <c r="K265" s="44">
        <v>16</v>
      </c>
      <c r="L265" s="44">
        <v>8</v>
      </c>
      <c r="M265" s="44">
        <f t="shared" si="20"/>
        <v>8</v>
      </c>
      <c r="N265" s="44">
        <f t="shared" si="23"/>
        <v>362.5</v>
      </c>
      <c r="O265" s="44">
        <f t="shared" si="21"/>
        <v>2900</v>
      </c>
      <c r="Q265" s="44" t="s">
        <v>16</v>
      </c>
    </row>
    <row r="266" spans="1:17" ht="12.75">
      <c r="A266" s="45" t="s">
        <v>549</v>
      </c>
      <c r="B266" s="44" t="s">
        <v>96</v>
      </c>
      <c r="C266" s="44" t="s">
        <v>97</v>
      </c>
      <c r="E266" s="44">
        <v>0</v>
      </c>
      <c r="F266" s="44">
        <v>1997</v>
      </c>
      <c r="G266" s="44">
        <v>1997</v>
      </c>
      <c r="H266" s="46">
        <f>VLOOKUP(G266,coefficienti!A$1:C$36,2)</f>
        <v>0.9733688415446072</v>
      </c>
      <c r="I266" s="44">
        <f t="shared" si="22"/>
        <v>12600</v>
      </c>
      <c r="J266" s="44">
        <v>13000</v>
      </c>
      <c r="K266" s="44">
        <v>22.22222222222222</v>
      </c>
      <c r="L266" s="44">
        <v>3</v>
      </c>
      <c r="M266" s="44">
        <f t="shared" si="20"/>
        <v>19.22222222222222</v>
      </c>
      <c r="N266" s="44">
        <f t="shared" si="23"/>
        <v>585</v>
      </c>
      <c r="O266" s="44">
        <f t="shared" si="21"/>
        <v>11245</v>
      </c>
      <c r="Q266" s="44" t="s">
        <v>16</v>
      </c>
    </row>
    <row r="267" spans="1:17" ht="12.75">
      <c r="A267" s="45" t="s">
        <v>549</v>
      </c>
      <c r="B267" s="44" t="s">
        <v>50</v>
      </c>
      <c r="C267" s="44" t="s">
        <v>51</v>
      </c>
      <c r="D267" s="44" t="s">
        <v>98</v>
      </c>
      <c r="E267" s="44">
        <v>0</v>
      </c>
      <c r="F267" s="44">
        <v>1998</v>
      </c>
      <c r="G267" s="44">
        <v>1998</v>
      </c>
      <c r="H267" s="46">
        <f>VLOOKUP(G267,coefficienti!A$1:C$36,2)</f>
        <v>0.9880159786950733</v>
      </c>
      <c r="I267" s="44">
        <f t="shared" si="22"/>
        <v>16800</v>
      </c>
      <c r="J267" s="44">
        <v>17100</v>
      </c>
      <c r="K267" s="44">
        <v>22.22222222222222</v>
      </c>
      <c r="L267" s="44">
        <v>2</v>
      </c>
      <c r="M267" s="44">
        <f t="shared" si="20"/>
        <v>20.22222222222222</v>
      </c>
      <c r="N267" s="44">
        <f t="shared" si="23"/>
        <v>769.5</v>
      </c>
      <c r="O267" s="44">
        <f t="shared" si="21"/>
        <v>15561</v>
      </c>
      <c r="Q267" s="44" t="s">
        <v>16</v>
      </c>
    </row>
    <row r="268" spans="1:17" ht="12.75">
      <c r="A268" s="45" t="s">
        <v>549</v>
      </c>
      <c r="B268" s="44" t="s">
        <v>47</v>
      </c>
      <c r="C268" s="44" t="s">
        <v>48</v>
      </c>
      <c r="E268" s="44">
        <v>0</v>
      </c>
      <c r="F268" s="44">
        <v>1995</v>
      </c>
      <c r="G268" s="44">
        <v>1995</v>
      </c>
      <c r="H268" s="46">
        <f>VLOOKUP(G268,coefficienti!A$1:C$36,2)</f>
        <v>0.8794940079893475</v>
      </c>
      <c r="I268" s="44">
        <f t="shared" si="22"/>
        <v>4100</v>
      </c>
      <c r="J268" s="44">
        <v>4700</v>
      </c>
      <c r="K268" s="44">
        <v>22.22222222222222</v>
      </c>
      <c r="L268" s="44">
        <v>5</v>
      </c>
      <c r="M268" s="44">
        <f t="shared" si="20"/>
        <v>17.22222222222222</v>
      </c>
      <c r="N268" s="44">
        <f t="shared" si="23"/>
        <v>211.5</v>
      </c>
      <c r="O268" s="44">
        <f t="shared" si="21"/>
        <v>3642.5</v>
      </c>
      <c r="Q268" s="44" t="s">
        <v>16</v>
      </c>
    </row>
    <row r="269" spans="1:17" ht="12.75">
      <c r="A269" s="45" t="s">
        <v>549</v>
      </c>
      <c r="B269" s="44" t="s">
        <v>35</v>
      </c>
      <c r="C269" s="44" t="s">
        <v>36</v>
      </c>
      <c r="D269" s="44" t="s">
        <v>70</v>
      </c>
      <c r="E269" s="44">
        <v>0</v>
      </c>
      <c r="F269" s="44">
        <v>1992</v>
      </c>
      <c r="G269" s="44">
        <v>1992</v>
      </c>
      <c r="H269" s="46">
        <f>VLOOKUP(G269,coefficienti!A$1:C$36,2)</f>
        <v>0.741011984021305</v>
      </c>
      <c r="I269" s="44">
        <f t="shared" si="22"/>
        <v>2400</v>
      </c>
      <c r="J269" s="44">
        <v>3300</v>
      </c>
      <c r="K269" s="44">
        <v>22.22222222222222</v>
      </c>
      <c r="L269" s="44">
        <v>8</v>
      </c>
      <c r="M269" s="44">
        <f t="shared" si="20"/>
        <v>14.222222222222221</v>
      </c>
      <c r="N269" s="44">
        <f t="shared" si="23"/>
        <v>148.5</v>
      </c>
      <c r="O269" s="44">
        <f t="shared" si="21"/>
        <v>2112</v>
      </c>
      <c r="Q269" s="44" t="s">
        <v>16</v>
      </c>
    </row>
    <row r="270" spans="1:17" ht="12.75">
      <c r="A270" s="45" t="s">
        <v>549</v>
      </c>
      <c r="B270" s="44" t="s">
        <v>71</v>
      </c>
      <c r="C270" s="44" t="s">
        <v>72</v>
      </c>
      <c r="E270" s="44">
        <v>0</v>
      </c>
      <c r="F270" s="44">
        <v>1995</v>
      </c>
      <c r="G270" s="44">
        <v>1995</v>
      </c>
      <c r="H270" s="46">
        <f>VLOOKUP(G270,coefficienti!A$1:C$36,2)</f>
        <v>0.8794940079893475</v>
      </c>
      <c r="I270" s="44">
        <f t="shared" si="22"/>
        <v>28500</v>
      </c>
      <c r="J270" s="44">
        <v>32500</v>
      </c>
      <c r="K270" s="44">
        <v>16</v>
      </c>
      <c r="L270" s="44">
        <v>5</v>
      </c>
      <c r="M270" s="44">
        <f t="shared" si="20"/>
        <v>11</v>
      </c>
      <c r="N270" s="44">
        <f t="shared" si="23"/>
        <v>2031.25</v>
      </c>
      <c r="O270" s="44">
        <f t="shared" si="21"/>
        <v>22343.75</v>
      </c>
      <c r="Q270" s="44" t="s">
        <v>16</v>
      </c>
    </row>
    <row r="271" spans="1:17" ht="12.75">
      <c r="A271" s="45" t="s">
        <v>549</v>
      </c>
      <c r="B271" s="44" t="s">
        <v>58</v>
      </c>
      <c r="C271" s="44" t="s">
        <v>49</v>
      </c>
      <c r="E271" s="44">
        <v>0</v>
      </c>
      <c r="F271" s="44">
        <v>1997</v>
      </c>
      <c r="G271" s="44">
        <v>1997</v>
      </c>
      <c r="H271" s="46">
        <f>VLOOKUP(G271,coefficienti!A$1:C$36,2)</f>
        <v>0.9733688415446072</v>
      </c>
      <c r="I271" s="44">
        <f t="shared" si="22"/>
        <v>5200</v>
      </c>
      <c r="J271" s="44">
        <v>5400</v>
      </c>
      <c r="K271" s="44">
        <v>22.22222222222222</v>
      </c>
      <c r="L271" s="44">
        <v>3</v>
      </c>
      <c r="M271" s="44">
        <f t="shared" si="20"/>
        <v>19.22222222222222</v>
      </c>
      <c r="N271" s="44">
        <f t="shared" si="23"/>
        <v>243</v>
      </c>
      <c r="O271" s="44">
        <f t="shared" si="21"/>
        <v>4671</v>
      </c>
      <c r="Q271" s="44" t="s">
        <v>16</v>
      </c>
    </row>
    <row r="272" spans="1:17" ht="12.75">
      <c r="A272" s="45" t="s">
        <v>549</v>
      </c>
      <c r="B272" s="44" t="s">
        <v>59</v>
      </c>
      <c r="C272" s="44" t="s">
        <v>60</v>
      </c>
      <c r="E272" s="44">
        <v>0</v>
      </c>
      <c r="F272" s="44">
        <v>1991</v>
      </c>
      <c r="G272" s="44">
        <v>1991</v>
      </c>
      <c r="H272" s="46">
        <f>VLOOKUP(G272,coefficienti!A$1:C$36,2)</f>
        <v>0.6929741685820822</v>
      </c>
      <c r="I272" s="44">
        <f t="shared" si="22"/>
        <v>11700</v>
      </c>
      <c r="J272" s="44">
        <v>17000</v>
      </c>
      <c r="K272" s="44">
        <v>16</v>
      </c>
      <c r="L272" s="44">
        <v>9</v>
      </c>
      <c r="M272" s="44">
        <f t="shared" si="20"/>
        <v>7</v>
      </c>
      <c r="N272" s="44">
        <f t="shared" si="23"/>
        <v>1062.5</v>
      </c>
      <c r="O272" s="44">
        <f t="shared" si="21"/>
        <v>7437.5</v>
      </c>
      <c r="Q272" s="44" t="s">
        <v>16</v>
      </c>
    </row>
    <row r="273" spans="1:17" ht="12.75">
      <c r="A273" s="45" t="s">
        <v>549</v>
      </c>
      <c r="B273" s="44" t="s">
        <v>61</v>
      </c>
      <c r="C273" s="44" t="s">
        <v>62</v>
      </c>
      <c r="D273" s="44" t="s">
        <v>99</v>
      </c>
      <c r="E273" s="44">
        <v>0</v>
      </c>
      <c r="F273" s="44">
        <v>1983</v>
      </c>
      <c r="G273" s="44">
        <v>1983</v>
      </c>
      <c r="H273" s="46">
        <f>VLOOKUP(G273,coefficienti!A$1:C$36,2)</f>
        <v>0.3756967512806928</v>
      </c>
      <c r="I273" s="44">
        <f t="shared" si="22"/>
        <v>3200</v>
      </c>
      <c r="J273" s="44">
        <v>8700</v>
      </c>
      <c r="K273" s="44">
        <v>16</v>
      </c>
      <c r="L273" s="44">
        <v>17</v>
      </c>
      <c r="M273" s="44">
        <f t="shared" si="20"/>
        <v>0</v>
      </c>
      <c r="N273" s="44">
        <f t="shared" si="23"/>
        <v>0</v>
      </c>
      <c r="O273" s="44">
        <f t="shared" si="21"/>
        <v>0</v>
      </c>
      <c r="Q273" s="44" t="s">
        <v>16</v>
      </c>
    </row>
    <row r="274" spans="1:17" ht="12.75">
      <c r="A274" s="45" t="s">
        <v>549</v>
      </c>
      <c r="B274" s="44" t="s">
        <v>63</v>
      </c>
      <c r="C274" s="44" t="s">
        <v>64</v>
      </c>
      <c r="D274" s="44" t="s">
        <v>100</v>
      </c>
      <c r="E274" s="44">
        <v>0</v>
      </c>
      <c r="F274" s="44">
        <v>1991</v>
      </c>
      <c r="G274" s="44">
        <v>1991</v>
      </c>
      <c r="H274" s="46">
        <f>VLOOKUP(G274,coefficienti!A$1:C$36,2)</f>
        <v>0.6929741685820822</v>
      </c>
      <c r="I274" s="44">
        <f t="shared" si="22"/>
        <v>9000</v>
      </c>
      <c r="J274" s="44">
        <v>13000</v>
      </c>
      <c r="K274" s="44">
        <v>16</v>
      </c>
      <c r="L274" s="44">
        <v>9</v>
      </c>
      <c r="M274" s="44">
        <f t="shared" si="20"/>
        <v>7</v>
      </c>
      <c r="N274" s="44">
        <f t="shared" si="23"/>
        <v>812.5</v>
      </c>
      <c r="O274" s="44">
        <f t="shared" si="21"/>
        <v>5687.5</v>
      </c>
      <c r="Q274" s="44" t="s">
        <v>16</v>
      </c>
    </row>
    <row r="275" spans="1:17" ht="12.75">
      <c r="A275" s="45" t="s">
        <v>549</v>
      </c>
      <c r="B275" s="44" t="s">
        <v>101</v>
      </c>
      <c r="C275" s="44" t="s">
        <v>73</v>
      </c>
      <c r="D275" s="44" t="s">
        <v>102</v>
      </c>
      <c r="E275" s="44">
        <v>0</v>
      </c>
      <c r="F275" s="44">
        <v>1983</v>
      </c>
      <c r="G275" s="44">
        <v>1983</v>
      </c>
      <c r="H275" s="46">
        <f>VLOOKUP(G275,coefficienti!A$1:C$36,2)</f>
        <v>0.3756967512806928</v>
      </c>
      <c r="I275" s="44">
        <f t="shared" si="22"/>
        <v>1700</v>
      </c>
      <c r="J275" s="44">
        <v>4700</v>
      </c>
      <c r="K275" s="44">
        <v>16</v>
      </c>
      <c r="L275" s="44">
        <v>17</v>
      </c>
      <c r="M275" s="44">
        <f t="shared" si="20"/>
        <v>0</v>
      </c>
      <c r="N275" s="44">
        <f t="shared" si="23"/>
        <v>0</v>
      </c>
      <c r="O275" s="44">
        <f t="shared" si="21"/>
        <v>0</v>
      </c>
      <c r="Q275" s="44" t="s">
        <v>16</v>
      </c>
    </row>
    <row r="276" spans="1:17" ht="12.75">
      <c r="A276" s="45" t="s">
        <v>549</v>
      </c>
      <c r="B276" s="44" t="s">
        <v>103</v>
      </c>
      <c r="C276" s="44" t="s">
        <v>73</v>
      </c>
      <c r="D276" s="44" t="s">
        <v>102</v>
      </c>
      <c r="E276" s="44">
        <v>0</v>
      </c>
      <c r="F276" s="44">
        <v>1988</v>
      </c>
      <c r="G276" s="44">
        <v>1988</v>
      </c>
      <c r="H276" s="46">
        <f>VLOOKUP(G276,coefficienti!A$1:C$36,2)</f>
        <v>0.5925029864366423</v>
      </c>
      <c r="I276" s="44">
        <f t="shared" si="22"/>
        <v>2700</v>
      </c>
      <c r="J276" s="44">
        <v>4700</v>
      </c>
      <c r="K276" s="44">
        <v>16</v>
      </c>
      <c r="L276" s="44">
        <v>12</v>
      </c>
      <c r="M276" s="44">
        <f t="shared" si="20"/>
        <v>4</v>
      </c>
      <c r="N276" s="44">
        <f t="shared" si="23"/>
        <v>293.75</v>
      </c>
      <c r="O276" s="44">
        <f t="shared" si="21"/>
        <v>1175</v>
      </c>
      <c r="Q276" s="44" t="s">
        <v>16</v>
      </c>
    </row>
    <row r="277" spans="1:17" ht="12.75">
      <c r="A277" s="45" t="s">
        <v>549</v>
      </c>
      <c r="B277" s="44" t="s">
        <v>104</v>
      </c>
      <c r="C277" s="44" t="s">
        <v>73</v>
      </c>
      <c r="D277" s="44" t="s">
        <v>105</v>
      </c>
      <c r="E277" s="44">
        <v>0</v>
      </c>
      <c r="F277" s="44">
        <v>1995</v>
      </c>
      <c r="G277" s="44">
        <v>1995</v>
      </c>
      <c r="H277" s="46">
        <f>VLOOKUP(G277,coefficienti!A$1:C$36,2)</f>
        <v>0.8794940079893475</v>
      </c>
      <c r="I277" s="44">
        <f t="shared" si="22"/>
        <v>4100</v>
      </c>
      <c r="J277" s="44">
        <v>4700</v>
      </c>
      <c r="K277" s="44">
        <v>16</v>
      </c>
      <c r="L277" s="44">
        <v>5</v>
      </c>
      <c r="M277" s="44">
        <f t="shared" si="20"/>
        <v>11</v>
      </c>
      <c r="N277" s="44">
        <f t="shared" si="23"/>
        <v>293.75</v>
      </c>
      <c r="O277" s="44">
        <f t="shared" si="21"/>
        <v>3231.25</v>
      </c>
      <c r="Q277" s="44" t="s">
        <v>16</v>
      </c>
    </row>
    <row r="278" spans="1:17" ht="12.75">
      <c r="A278" s="45" t="s">
        <v>549</v>
      </c>
      <c r="B278" s="44" t="s">
        <v>65</v>
      </c>
      <c r="C278" s="44" t="s">
        <v>66</v>
      </c>
      <c r="D278" s="44" t="s">
        <v>106</v>
      </c>
      <c r="E278" s="44">
        <v>0</v>
      </c>
      <c r="F278" s="44">
        <v>1983</v>
      </c>
      <c r="G278" s="44">
        <v>1983</v>
      </c>
      <c r="H278" s="46">
        <f>VLOOKUP(G278,coefficienti!A$1:C$36,2)</f>
        <v>0.3756967512806928</v>
      </c>
      <c r="I278" s="44">
        <f t="shared" si="22"/>
        <v>9500</v>
      </c>
      <c r="J278" s="44">
        <v>25300</v>
      </c>
      <c r="K278" s="44">
        <v>16</v>
      </c>
      <c r="L278" s="44">
        <v>17</v>
      </c>
      <c r="M278" s="44">
        <f t="shared" si="20"/>
        <v>0</v>
      </c>
      <c r="N278" s="44">
        <f t="shared" si="23"/>
        <v>0</v>
      </c>
      <c r="O278" s="44">
        <f t="shared" si="21"/>
        <v>0</v>
      </c>
      <c r="Q278" s="44" t="s">
        <v>16</v>
      </c>
    </row>
    <row r="279" spans="1:17" ht="12.75">
      <c r="A279" s="45" t="s">
        <v>549</v>
      </c>
      <c r="B279" s="44" t="s">
        <v>74</v>
      </c>
      <c r="C279" s="44" t="s">
        <v>66</v>
      </c>
      <c r="D279" s="44" t="s">
        <v>107</v>
      </c>
      <c r="E279" s="44">
        <v>0</v>
      </c>
      <c r="F279" s="44">
        <v>1992</v>
      </c>
      <c r="G279" s="44">
        <v>1992</v>
      </c>
      <c r="H279" s="46">
        <f>VLOOKUP(G279,coefficienti!A$1:C$36,2)</f>
        <v>0.741011984021305</v>
      </c>
      <c r="I279" s="44">
        <f t="shared" si="22"/>
        <v>1700</v>
      </c>
      <c r="J279" s="44">
        <v>2300</v>
      </c>
      <c r="K279" s="44">
        <v>20</v>
      </c>
      <c r="L279" s="44">
        <v>8</v>
      </c>
      <c r="M279" s="44">
        <f t="shared" si="20"/>
        <v>12</v>
      </c>
      <c r="N279" s="44">
        <f t="shared" si="23"/>
        <v>115</v>
      </c>
      <c r="O279" s="44">
        <f t="shared" si="21"/>
        <v>1380</v>
      </c>
      <c r="Q279" s="44" t="s">
        <v>16</v>
      </c>
    </row>
    <row r="280" spans="1:17" ht="12.75">
      <c r="A280" s="45" t="s">
        <v>549</v>
      </c>
      <c r="B280" s="44" t="s">
        <v>75</v>
      </c>
      <c r="C280" s="44" t="s">
        <v>66</v>
      </c>
      <c r="D280" s="44" t="s">
        <v>108</v>
      </c>
      <c r="E280" s="44">
        <v>0</v>
      </c>
      <c r="F280" s="44">
        <v>1994</v>
      </c>
      <c r="G280" s="44">
        <v>1994</v>
      </c>
      <c r="H280" s="46">
        <f>VLOOKUP(G280,coefficienti!A$1:C$36,2)</f>
        <v>0.8169107856191745</v>
      </c>
      <c r="I280" s="44">
        <f t="shared" si="22"/>
        <v>1100</v>
      </c>
      <c r="J280" s="44">
        <v>1400</v>
      </c>
      <c r="K280" s="44">
        <v>16</v>
      </c>
      <c r="L280" s="44">
        <v>6</v>
      </c>
      <c r="M280" s="44">
        <f t="shared" si="20"/>
        <v>10</v>
      </c>
      <c r="N280" s="44">
        <f t="shared" si="23"/>
        <v>87.5</v>
      </c>
      <c r="O280" s="44">
        <f t="shared" si="21"/>
        <v>875</v>
      </c>
      <c r="Q280" s="44" t="s">
        <v>16</v>
      </c>
    </row>
    <row r="281" spans="1:17" ht="12.75">
      <c r="A281" s="45" t="s">
        <v>549</v>
      </c>
      <c r="B281" s="44" t="s">
        <v>109</v>
      </c>
      <c r="C281" s="44" t="s">
        <v>110</v>
      </c>
      <c r="D281" s="44" t="s">
        <v>111</v>
      </c>
      <c r="E281" s="44">
        <v>0</v>
      </c>
      <c r="F281" s="44">
        <v>1996</v>
      </c>
      <c r="G281" s="44">
        <v>1996</v>
      </c>
      <c r="H281" s="46">
        <f>VLOOKUP(G281,coefficienti!A$1:C$36,2)</f>
        <v>0.9420772303595207</v>
      </c>
      <c r="I281" s="44">
        <f t="shared" si="22"/>
        <v>4000</v>
      </c>
      <c r="J281" s="44">
        <v>4300</v>
      </c>
      <c r="K281" s="44">
        <v>16</v>
      </c>
      <c r="L281" s="44">
        <v>4</v>
      </c>
      <c r="M281" s="44">
        <f t="shared" si="20"/>
        <v>12</v>
      </c>
      <c r="N281" s="44">
        <f t="shared" si="23"/>
        <v>268.75</v>
      </c>
      <c r="O281" s="44">
        <f t="shared" si="21"/>
        <v>3225</v>
      </c>
      <c r="Q281" s="44" t="s">
        <v>16</v>
      </c>
    </row>
    <row r="282" spans="1:17" ht="12.75">
      <c r="A282" s="45" t="s">
        <v>549</v>
      </c>
      <c r="B282" s="44" t="s">
        <v>112</v>
      </c>
      <c r="C282" s="44" t="s">
        <v>110</v>
      </c>
      <c r="D282" s="44" t="s">
        <v>113</v>
      </c>
      <c r="E282" s="44">
        <v>0</v>
      </c>
      <c r="F282" s="44">
        <v>1983</v>
      </c>
      <c r="G282" s="44">
        <v>1983</v>
      </c>
      <c r="H282" s="46">
        <f>VLOOKUP(G282,coefficienti!A$1:C$36,2)</f>
        <v>0.3756967512806928</v>
      </c>
      <c r="I282" s="44">
        <f t="shared" si="22"/>
        <v>1600</v>
      </c>
      <c r="J282" s="44">
        <v>4300</v>
      </c>
      <c r="K282" s="44">
        <v>16</v>
      </c>
      <c r="L282" s="44">
        <v>17</v>
      </c>
      <c r="M282" s="44">
        <f t="shared" si="20"/>
        <v>0</v>
      </c>
      <c r="N282" s="44">
        <f t="shared" si="23"/>
        <v>0</v>
      </c>
      <c r="O282" s="44">
        <f t="shared" si="21"/>
        <v>0</v>
      </c>
      <c r="Q282" s="44" t="s">
        <v>16</v>
      </c>
    </row>
    <row r="283" spans="1:17" ht="12.75">
      <c r="A283" s="45" t="s">
        <v>549</v>
      </c>
      <c r="B283" s="44" t="s">
        <v>114</v>
      </c>
      <c r="C283" s="44" t="s">
        <v>115</v>
      </c>
      <c r="D283" s="44" t="s">
        <v>116</v>
      </c>
      <c r="E283" s="44">
        <v>0</v>
      </c>
      <c r="F283" s="44">
        <v>1983</v>
      </c>
      <c r="G283" s="44">
        <v>1983</v>
      </c>
      <c r="H283" s="46">
        <f>VLOOKUP(G283,coefficienti!A$1:C$36,2)</f>
        <v>0.3756967512806928</v>
      </c>
      <c r="I283" s="44">
        <f t="shared" si="22"/>
        <v>1300</v>
      </c>
      <c r="J283" s="44">
        <v>3600</v>
      </c>
      <c r="K283" s="44">
        <v>16</v>
      </c>
      <c r="L283" s="44">
        <v>17</v>
      </c>
      <c r="M283" s="44">
        <f t="shared" si="20"/>
        <v>0</v>
      </c>
      <c r="N283" s="44">
        <f t="shared" si="23"/>
        <v>0</v>
      </c>
      <c r="O283" s="44">
        <f t="shared" si="21"/>
        <v>0</v>
      </c>
      <c r="Q283" s="44" t="s">
        <v>16</v>
      </c>
    </row>
    <row r="284" spans="1:17" ht="12.75">
      <c r="A284" s="45" t="s">
        <v>549</v>
      </c>
      <c r="B284" s="44" t="s">
        <v>52</v>
      </c>
      <c r="C284" s="44" t="s">
        <v>53</v>
      </c>
      <c r="D284" s="44" t="s">
        <v>117</v>
      </c>
      <c r="E284" s="44">
        <v>0</v>
      </c>
      <c r="F284" s="44">
        <v>1975</v>
      </c>
      <c r="G284" s="44">
        <v>1975</v>
      </c>
      <c r="H284" s="46">
        <f>VLOOKUP(G284,coefficienti!A$1:C$36,2)</f>
        <v>0.11709047543265562</v>
      </c>
      <c r="I284" s="44">
        <f>INT(J284*H284/10)*10</f>
        <v>80</v>
      </c>
      <c r="J284" s="44">
        <v>700</v>
      </c>
      <c r="K284" s="44">
        <v>22.22222222222222</v>
      </c>
      <c r="L284" s="44">
        <v>25</v>
      </c>
      <c r="M284" s="44">
        <f t="shared" si="20"/>
        <v>0</v>
      </c>
      <c r="N284" s="44">
        <f t="shared" si="23"/>
        <v>0</v>
      </c>
      <c r="O284" s="44">
        <f t="shared" si="21"/>
        <v>0</v>
      </c>
      <c r="Q284" s="44" t="s">
        <v>16</v>
      </c>
    </row>
    <row r="285" spans="1:17" ht="12.75">
      <c r="A285" s="45" t="s">
        <v>549</v>
      </c>
      <c r="B285" s="44" t="s">
        <v>54</v>
      </c>
      <c r="C285" s="44" t="s">
        <v>53</v>
      </c>
      <c r="D285" s="44" t="s">
        <v>118</v>
      </c>
      <c r="E285" s="44">
        <v>0</v>
      </c>
      <c r="F285" s="44">
        <v>1989</v>
      </c>
      <c r="G285" s="44">
        <v>1989</v>
      </c>
      <c r="H285" s="46">
        <f>VLOOKUP(G285,coefficienti!A$1:C$36,2)</f>
        <v>0.6322885673363403</v>
      </c>
      <c r="I285" s="44">
        <f>INT(J285*H285/100)*100</f>
        <v>600</v>
      </c>
      <c r="J285" s="44">
        <v>1100</v>
      </c>
      <c r="K285" s="44">
        <v>22.22222222222222</v>
      </c>
      <c r="L285" s="44">
        <v>11</v>
      </c>
      <c r="M285" s="44">
        <f t="shared" si="20"/>
        <v>11.222222222222221</v>
      </c>
      <c r="N285" s="44">
        <f t="shared" si="23"/>
        <v>49.5</v>
      </c>
      <c r="O285" s="44">
        <f t="shared" si="21"/>
        <v>555.5</v>
      </c>
      <c r="Q285" s="44" t="s">
        <v>16</v>
      </c>
    </row>
    <row r="286" spans="1:17" ht="12.75">
      <c r="A286" s="45" t="s">
        <v>549</v>
      </c>
      <c r="B286" s="44" t="s">
        <v>37</v>
      </c>
      <c r="C286" s="44" t="s">
        <v>38</v>
      </c>
      <c r="E286" s="44">
        <v>0</v>
      </c>
      <c r="F286" s="44">
        <v>0</v>
      </c>
      <c r="G286" s="44">
        <v>0</v>
      </c>
      <c r="H286" s="46">
        <v>0.6</v>
      </c>
      <c r="I286" s="44">
        <f>INT(J286*H286/100)*100</f>
        <v>4300</v>
      </c>
      <c r="J286" s="44">
        <v>7200</v>
      </c>
      <c r="K286" s="44">
        <v>22.22222222222222</v>
      </c>
      <c r="L286" s="44">
        <v>4</v>
      </c>
      <c r="M286" s="44">
        <f t="shared" si="20"/>
        <v>18.22222222222222</v>
      </c>
      <c r="N286" s="44">
        <f t="shared" si="23"/>
        <v>324</v>
      </c>
      <c r="O286" s="44">
        <f t="shared" si="21"/>
        <v>5904</v>
      </c>
      <c r="Q286" s="44" t="s">
        <v>16</v>
      </c>
    </row>
    <row r="287" spans="1:17" ht="12.75">
      <c r="A287" s="45" t="s">
        <v>549</v>
      </c>
      <c r="B287" s="44" t="s">
        <v>119</v>
      </c>
      <c r="C287" s="44" t="s">
        <v>120</v>
      </c>
      <c r="D287" s="44" t="s">
        <v>121</v>
      </c>
      <c r="E287" s="44">
        <v>0</v>
      </c>
      <c r="F287" s="44">
        <v>1983</v>
      </c>
      <c r="G287" s="44">
        <v>1983</v>
      </c>
      <c r="H287" s="46">
        <f>VLOOKUP(G287,coefficienti!A$1:C$36,2)</f>
        <v>0.3756967512806928</v>
      </c>
      <c r="I287" s="44">
        <f>INT(J287*H287/100)*100</f>
        <v>3200</v>
      </c>
      <c r="J287" s="44">
        <v>8700</v>
      </c>
      <c r="K287" s="44">
        <v>16</v>
      </c>
      <c r="L287" s="44">
        <v>17</v>
      </c>
      <c r="M287" s="44">
        <f t="shared" si="20"/>
        <v>0</v>
      </c>
      <c r="N287" s="44">
        <f t="shared" si="23"/>
        <v>0</v>
      </c>
      <c r="O287" s="44">
        <f t="shared" si="21"/>
        <v>0</v>
      </c>
      <c r="Q287" s="44" t="s">
        <v>16</v>
      </c>
    </row>
    <row r="288" spans="1:17" ht="12.75">
      <c r="A288" s="45" t="s">
        <v>549</v>
      </c>
      <c r="B288" s="44" t="s">
        <v>122</v>
      </c>
      <c r="C288" s="44" t="s">
        <v>120</v>
      </c>
      <c r="D288" s="44" t="s">
        <v>121</v>
      </c>
      <c r="E288" s="44">
        <v>0</v>
      </c>
      <c r="F288" s="44">
        <v>1988</v>
      </c>
      <c r="G288" s="44">
        <v>1988</v>
      </c>
      <c r="H288" s="46">
        <f>VLOOKUP(G288,coefficienti!A$1:C$36,2)</f>
        <v>0.5925029864366423</v>
      </c>
      <c r="I288" s="44">
        <f>INT(J288*H288/100)*100</f>
        <v>5100</v>
      </c>
      <c r="J288" s="44">
        <v>8700</v>
      </c>
      <c r="K288" s="44">
        <v>16</v>
      </c>
      <c r="L288" s="44">
        <v>12</v>
      </c>
      <c r="M288" s="44">
        <f t="shared" si="20"/>
        <v>4</v>
      </c>
      <c r="N288" s="44">
        <f t="shared" si="23"/>
        <v>543.75</v>
      </c>
      <c r="O288" s="44">
        <f t="shared" si="21"/>
        <v>2175</v>
      </c>
      <c r="Q288" s="44" t="s">
        <v>16</v>
      </c>
    </row>
    <row r="289" spans="1:17" ht="12.75">
      <c r="A289" s="45" t="s">
        <v>549</v>
      </c>
      <c r="B289" s="44" t="s">
        <v>39</v>
      </c>
      <c r="C289" s="44" t="s">
        <v>40</v>
      </c>
      <c r="D289" s="44" t="s">
        <v>123</v>
      </c>
      <c r="E289" s="44">
        <v>0</v>
      </c>
      <c r="F289" s="44">
        <v>1983</v>
      </c>
      <c r="G289" s="44">
        <v>1983</v>
      </c>
      <c r="H289" s="46">
        <f>VLOOKUP(G289,coefficienti!A$1:C$36,2)</f>
        <v>0.3756967512806928</v>
      </c>
      <c r="I289" s="44">
        <f>INT(J289*H289/100)*100</f>
        <v>3200</v>
      </c>
      <c r="J289" s="44">
        <v>8700</v>
      </c>
      <c r="K289" s="44">
        <v>22.22222222222222</v>
      </c>
      <c r="L289" s="44">
        <v>17</v>
      </c>
      <c r="M289" s="44">
        <f t="shared" si="20"/>
        <v>5.222222222222221</v>
      </c>
      <c r="N289" s="44">
        <f t="shared" si="23"/>
        <v>391.5</v>
      </c>
      <c r="O289" s="44">
        <f t="shared" si="21"/>
        <v>2044.4999999999998</v>
      </c>
      <c r="Q289" s="44" t="s">
        <v>16</v>
      </c>
    </row>
    <row r="290" spans="3:15" ht="12.75">
      <c r="C290" s="44" t="s">
        <v>340</v>
      </c>
      <c r="I290" s="44">
        <f>SUM(I247:I289)</f>
        <v>314880</v>
      </c>
      <c r="J290" s="44">
        <f>SUM(J247:J289)</f>
        <v>445800</v>
      </c>
      <c r="N290" s="44">
        <f>SUM(N247:N289)</f>
        <v>19510.75</v>
      </c>
      <c r="O290" s="44">
        <f>SUM(O247:O289)</f>
        <v>242033</v>
      </c>
    </row>
    <row r="291" spans="3:15" ht="12.75">
      <c r="C291" s="44" t="s">
        <v>341</v>
      </c>
      <c r="I291" s="44">
        <f>+I290-SUM(I287,I282:I284,I278,I275,I273)</f>
        <v>294300</v>
      </c>
      <c r="J291" s="44">
        <f>+J290-SUM(J287,J282:J284,J278,J275,J273)</f>
        <v>389800</v>
      </c>
      <c r="N291" s="47">
        <f>+N290/I290</f>
        <v>0.06196249364837399</v>
      </c>
      <c r="O291" s="49">
        <f>+N290/J290</f>
        <v>0.043765702108568866</v>
      </c>
    </row>
    <row r="292" spans="3:15" ht="12.75">
      <c r="C292" s="44" t="s">
        <v>454</v>
      </c>
      <c r="I292" s="44">
        <f>+I291-O290</f>
        <v>52267</v>
      </c>
      <c r="J292" s="44">
        <f>+J291-O290</f>
        <v>147767</v>
      </c>
      <c r="N292" s="48">
        <f>+N290/I291</f>
        <v>0.06629544682296976</v>
      </c>
      <c r="O292" s="48">
        <f>+N290/J291</f>
        <v>0.050053232426885585</v>
      </c>
    </row>
  </sheetData>
  <printOptions/>
  <pageMargins left="0.7874015748031497" right="0.7874015748031497" top="0.52" bottom="0.52" header="0.5118110236220472" footer="0.5118110236220472"/>
  <pageSetup fitToHeight="5" horizontalDpi="300" verticalDpi="300" orientation="landscape" paperSize="9" scale="83" r:id="rId1"/>
  <rowBreaks count="5" manualBreakCount="5">
    <brk id="48" max="16" man="1"/>
    <brk id="96" max="16" man="1"/>
    <brk id="146" max="16" man="1"/>
    <brk id="195" max="16" man="1"/>
    <brk id="244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1">
    <pageSetUpPr fitToPage="1"/>
  </sheetPr>
  <dimension ref="A1:Q14"/>
  <sheetViews>
    <sheetView workbookViewId="0" topLeftCell="A1">
      <selection activeCell="A1" sqref="A1"/>
    </sheetView>
  </sheetViews>
  <sheetFormatPr defaultColWidth="9.140625" defaultRowHeight="12.75"/>
  <cols>
    <col min="1" max="1" width="13.7109375" style="1" customWidth="1"/>
    <col min="2" max="2" width="5.7109375" style="1" customWidth="1"/>
    <col min="3" max="3" width="20.7109375" style="1" customWidth="1"/>
    <col min="4" max="4" width="3.7109375" style="1" customWidth="1"/>
    <col min="5" max="5" width="4.7109375" style="1" customWidth="1"/>
    <col min="6" max="6" width="3.7109375" style="1" customWidth="1"/>
    <col min="7" max="7" width="10.140625" style="1" bestFit="1" customWidth="1"/>
    <col min="8" max="8" width="8.7109375" style="1" customWidth="1"/>
    <col min="9" max="10" width="7.7109375" style="1" customWidth="1"/>
    <col min="11" max="11" width="5.7109375" style="1" customWidth="1"/>
    <col min="12" max="12" width="7.7109375" style="1" customWidth="1"/>
    <col min="13" max="14" width="8.7109375" style="1" customWidth="1"/>
    <col min="15" max="15" width="1.7109375" style="1" customWidth="1"/>
    <col min="16" max="16" width="18.7109375" style="1" customWidth="1"/>
    <col min="17" max="17" width="13.7109375" style="1" customWidth="1"/>
  </cols>
  <sheetData>
    <row r="1" spans="1:17" s="50" customFormat="1" ht="12.75">
      <c r="A1" s="44" t="s">
        <v>0</v>
      </c>
      <c r="B1" s="44" t="s">
        <v>2</v>
      </c>
      <c r="C1" s="44" t="s">
        <v>3</v>
      </c>
      <c r="D1" s="44" t="s">
        <v>4</v>
      </c>
      <c r="E1" s="44" t="s">
        <v>6</v>
      </c>
      <c r="F1" s="44" t="s">
        <v>8</v>
      </c>
      <c r="G1" s="44" t="s">
        <v>125</v>
      </c>
      <c r="H1" s="44" t="s">
        <v>126</v>
      </c>
      <c r="I1" s="44" t="s">
        <v>127</v>
      </c>
      <c r="J1" s="44" t="s">
        <v>128</v>
      </c>
      <c r="K1" s="44" t="s">
        <v>129</v>
      </c>
      <c r="L1" s="44" t="s">
        <v>130</v>
      </c>
      <c r="M1" s="44" t="s">
        <v>7</v>
      </c>
      <c r="N1" s="44" t="s">
        <v>131</v>
      </c>
      <c r="O1" s="44" t="s">
        <v>11</v>
      </c>
      <c r="P1" s="44" t="s">
        <v>15</v>
      </c>
      <c r="Q1" s="44"/>
    </row>
    <row r="2" spans="1:17" s="50" customFormat="1" ht="12.75">
      <c r="A2" s="44" t="s">
        <v>79</v>
      </c>
      <c r="B2" s="44" t="s">
        <v>26</v>
      </c>
      <c r="C2" s="44" t="s">
        <v>27</v>
      </c>
      <c r="D2" s="44">
        <v>0</v>
      </c>
      <c r="E2" s="44">
        <v>0</v>
      </c>
      <c r="F2" s="44">
        <v>5</v>
      </c>
      <c r="G2" s="56">
        <v>36584</v>
      </c>
      <c r="H2" s="44">
        <v>0</v>
      </c>
      <c r="I2" s="44">
        <v>0</v>
      </c>
      <c r="J2" s="44">
        <v>0</v>
      </c>
      <c r="K2" s="44">
        <v>0</v>
      </c>
      <c r="L2" s="44">
        <v>0</v>
      </c>
      <c r="M2" s="44">
        <v>5000</v>
      </c>
      <c r="N2" s="44">
        <v>0</v>
      </c>
      <c r="O2" s="44" t="s">
        <v>133</v>
      </c>
      <c r="P2" s="44" t="s">
        <v>134</v>
      </c>
      <c r="Q2" s="44"/>
    </row>
    <row r="3" spans="1:17" s="50" customFormat="1" ht="12.75">
      <c r="A3" s="44" t="s">
        <v>79</v>
      </c>
      <c r="B3" s="44" t="s">
        <v>56</v>
      </c>
      <c r="C3" s="44" t="s">
        <v>18</v>
      </c>
      <c r="D3" s="44">
        <v>80</v>
      </c>
      <c r="E3" s="44">
        <v>0</v>
      </c>
      <c r="F3" s="44">
        <v>5</v>
      </c>
      <c r="G3" s="56">
        <v>36600</v>
      </c>
      <c r="H3" s="44">
        <v>0</v>
      </c>
      <c r="I3" s="44">
        <v>0</v>
      </c>
      <c r="J3" s="44">
        <v>0</v>
      </c>
      <c r="K3" s="44">
        <v>0</v>
      </c>
      <c r="L3" s="44">
        <v>0</v>
      </c>
      <c r="M3" s="44">
        <v>38600</v>
      </c>
      <c r="N3" s="44">
        <v>5950</v>
      </c>
      <c r="O3" s="44" t="s">
        <v>133</v>
      </c>
      <c r="P3" s="44" t="s">
        <v>135</v>
      </c>
      <c r="Q3" s="44"/>
    </row>
    <row r="4" spans="1:17" s="50" customFormat="1" ht="12.75">
      <c r="A4" s="44" t="s">
        <v>79</v>
      </c>
      <c r="B4" s="44" t="s">
        <v>65</v>
      </c>
      <c r="C4" s="44" t="s">
        <v>66</v>
      </c>
      <c r="D4" s="44">
        <v>0</v>
      </c>
      <c r="E4" s="44">
        <v>0</v>
      </c>
      <c r="F4" s="44">
        <v>0</v>
      </c>
      <c r="G4" s="56">
        <v>36731</v>
      </c>
      <c r="H4" s="44">
        <v>0</v>
      </c>
      <c r="I4" s="44">
        <v>0</v>
      </c>
      <c r="J4" s="44">
        <v>0</v>
      </c>
      <c r="K4" s="44">
        <v>1450</v>
      </c>
      <c r="L4" s="44">
        <v>0</v>
      </c>
      <c r="M4" s="44">
        <v>0</v>
      </c>
      <c r="N4" s="44">
        <v>0</v>
      </c>
      <c r="O4" s="44"/>
      <c r="P4" s="44"/>
      <c r="Q4" s="44"/>
    </row>
    <row r="5" spans="1:17" s="50" customFormat="1" ht="12.75">
      <c r="A5" s="44" t="s">
        <v>79</v>
      </c>
      <c r="B5" s="44" t="s">
        <v>76</v>
      </c>
      <c r="C5" s="44" t="s">
        <v>66</v>
      </c>
      <c r="D5" s="44">
        <v>0</v>
      </c>
      <c r="E5" s="44">
        <v>0</v>
      </c>
      <c r="F5" s="44">
        <v>7</v>
      </c>
      <c r="G5" s="56">
        <v>36863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2300</v>
      </c>
      <c r="N5" s="44">
        <v>0</v>
      </c>
      <c r="O5" s="44" t="s">
        <v>133</v>
      </c>
      <c r="P5" s="44" t="s">
        <v>136</v>
      </c>
      <c r="Q5" s="44"/>
    </row>
    <row r="6" spans="1:17" s="50" customFormat="1" ht="12.75">
      <c r="A6" s="44"/>
      <c r="B6" s="44"/>
      <c r="C6" s="44" t="s">
        <v>457</v>
      </c>
      <c r="D6" s="44"/>
      <c r="E6" s="44"/>
      <c r="F6" s="44"/>
      <c r="G6" s="44"/>
      <c r="H6" s="44"/>
      <c r="I6" s="44"/>
      <c r="J6" s="44"/>
      <c r="K6" s="44"/>
      <c r="L6" s="44"/>
      <c r="M6" s="44">
        <v>45900</v>
      </c>
      <c r="N6" s="44"/>
      <c r="O6" s="44"/>
      <c r="P6" s="44"/>
      <c r="Q6" s="44"/>
    </row>
    <row r="7" spans="1:17" s="50" customFormat="1" ht="12.75">
      <c r="A7" s="44"/>
      <c r="B7" s="44"/>
      <c r="C7" s="44" t="s">
        <v>456</v>
      </c>
      <c r="D7" s="44"/>
      <c r="E7" s="44"/>
      <c r="F7" s="44"/>
      <c r="G7" s="44"/>
      <c r="H7" s="44"/>
      <c r="I7" s="44"/>
      <c r="J7" s="44"/>
      <c r="K7" s="44"/>
      <c r="L7" s="44"/>
      <c r="M7" s="44">
        <v>314880</v>
      </c>
      <c r="N7" s="44"/>
      <c r="O7" s="44"/>
      <c r="P7" s="44"/>
      <c r="Q7" s="44"/>
    </row>
    <row r="8" spans="1:17" s="50" customFormat="1" ht="12.75">
      <c r="A8" s="44"/>
      <c r="B8" s="44"/>
      <c r="C8" s="44" t="s">
        <v>455</v>
      </c>
      <c r="D8" s="44"/>
      <c r="E8" s="44"/>
      <c r="F8" s="44"/>
      <c r="G8" s="44"/>
      <c r="H8" s="44"/>
      <c r="I8" s="44"/>
      <c r="J8" s="44"/>
      <c r="K8" s="44"/>
      <c r="L8" s="44"/>
      <c r="M8" s="44">
        <v>362230</v>
      </c>
      <c r="N8" s="44"/>
      <c r="O8" s="44"/>
      <c r="P8" s="44"/>
      <c r="Q8" s="44"/>
    </row>
    <row r="9" spans="3:13" ht="12.75">
      <c r="C9" s="1" t="s">
        <v>918</v>
      </c>
      <c r="M9" s="1">
        <v>4360</v>
      </c>
    </row>
    <row r="10" spans="3:13" ht="12.75">
      <c r="C10" s="1" t="s">
        <v>917</v>
      </c>
      <c r="M10" s="1">
        <v>23291.5</v>
      </c>
    </row>
    <row r="11" spans="3:13" ht="12.75">
      <c r="C11" s="1" t="s">
        <v>919</v>
      </c>
      <c r="M11" s="1">
        <v>27651.5</v>
      </c>
    </row>
    <row r="12" spans="3:13" ht="12.75">
      <c r="C12" s="1" t="s">
        <v>920</v>
      </c>
      <c r="M12" s="1">
        <v>130254</v>
      </c>
    </row>
    <row r="13" spans="3:13" ht="12.75">
      <c r="C13" s="1" t="s">
        <v>921</v>
      </c>
      <c r="M13" s="1">
        <v>4360</v>
      </c>
    </row>
    <row r="14" spans="3:13" ht="12.75">
      <c r="C14" s="1" t="s">
        <v>922</v>
      </c>
      <c r="M14" s="1">
        <v>134614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2"/>
  <dimension ref="A1:P21"/>
  <sheetViews>
    <sheetView workbookViewId="0" topLeftCell="B1">
      <selection activeCell="B1" sqref="B1"/>
    </sheetView>
  </sheetViews>
  <sheetFormatPr defaultColWidth="9.140625" defaultRowHeight="12.75"/>
  <cols>
    <col min="1" max="1" width="13.7109375" style="1" customWidth="1"/>
    <col min="2" max="2" width="8.7109375" style="1" customWidth="1"/>
    <col min="3" max="3" width="3.7109375" style="1" customWidth="1"/>
    <col min="4" max="4" width="29.7109375" style="1" customWidth="1"/>
    <col min="5" max="5" width="2.7109375" style="1" customWidth="1"/>
    <col min="6" max="6" width="8.7109375" style="1" customWidth="1"/>
    <col min="7" max="9" width="2.7109375" style="1" customWidth="1"/>
    <col min="10" max="10" width="8.7109375" style="3" customWidth="1"/>
    <col min="11" max="11" width="5.7109375" style="3" customWidth="1"/>
    <col min="12" max="12" width="8.7109375" style="1" bestFit="1" customWidth="1"/>
    <col min="13" max="13" width="7.00390625" style="1" customWidth="1"/>
    <col min="14" max="14" width="9.7109375" style="1" bestFit="1" customWidth="1"/>
    <col min="15" max="15" width="1.7109375" style="1" customWidth="1"/>
    <col min="16" max="16" width="13.7109375" style="1" customWidth="1"/>
  </cols>
  <sheetData>
    <row r="1" spans="1:16" s="50" customFormat="1" ht="12.75">
      <c r="A1" s="44" t="s">
        <v>0</v>
      </c>
      <c r="B1" s="44" t="s">
        <v>125</v>
      </c>
      <c r="C1" s="44" t="s">
        <v>207</v>
      </c>
      <c r="D1" s="44" t="s">
        <v>3</v>
      </c>
      <c r="E1" s="44" t="s">
        <v>208</v>
      </c>
      <c r="F1" s="44" t="s">
        <v>209</v>
      </c>
      <c r="G1" s="44" t="s">
        <v>10</v>
      </c>
      <c r="H1" s="44" t="s">
        <v>8</v>
      </c>
      <c r="I1" s="44" t="s">
        <v>9</v>
      </c>
      <c r="J1" s="54" t="s">
        <v>210</v>
      </c>
      <c r="K1" s="54" t="s">
        <v>211</v>
      </c>
      <c r="L1" s="44" t="s">
        <v>212</v>
      </c>
      <c r="M1" s="44" t="s">
        <v>213</v>
      </c>
      <c r="N1" s="44" t="s">
        <v>214</v>
      </c>
      <c r="O1" s="44" t="s">
        <v>206</v>
      </c>
      <c r="P1" s="44" t="s">
        <v>132</v>
      </c>
    </row>
    <row r="2" spans="1:16" s="50" customFormat="1" ht="12.75">
      <c r="A2" s="44" t="s">
        <v>79</v>
      </c>
      <c r="B2" s="212">
        <v>36859</v>
      </c>
      <c r="C2" s="44" t="s">
        <v>215</v>
      </c>
      <c r="D2" s="44" t="s">
        <v>216</v>
      </c>
      <c r="E2" s="44">
        <v>0</v>
      </c>
      <c r="F2" s="44">
        <v>0</v>
      </c>
      <c r="G2" s="44">
        <v>0</v>
      </c>
      <c r="H2" s="44">
        <v>0</v>
      </c>
      <c r="I2" s="44">
        <v>0</v>
      </c>
      <c r="J2" s="54">
        <v>0</v>
      </c>
      <c r="K2" s="54">
        <v>0</v>
      </c>
      <c r="L2" s="44">
        <v>6723.492277209008</v>
      </c>
      <c r="M2" s="44">
        <v>6801.307874945107</v>
      </c>
      <c r="N2" s="44"/>
      <c r="O2" s="44"/>
      <c r="P2" s="44"/>
    </row>
    <row r="3" spans="1:16" s="50" customFormat="1" ht="12.75">
      <c r="A3" s="44" t="s">
        <v>0</v>
      </c>
      <c r="B3" s="44" t="s">
        <v>1</v>
      </c>
      <c r="C3" s="44" t="s">
        <v>207</v>
      </c>
      <c r="D3" s="44" t="s">
        <v>3</v>
      </c>
      <c r="E3" s="44" t="s">
        <v>208</v>
      </c>
      <c r="F3" s="44" t="s">
        <v>209</v>
      </c>
      <c r="G3" s="44" t="s">
        <v>10</v>
      </c>
      <c r="H3" s="44" t="s">
        <v>8</v>
      </c>
      <c r="I3" s="44" t="s">
        <v>9</v>
      </c>
      <c r="J3" s="54" t="s">
        <v>210</v>
      </c>
      <c r="K3" s="54" t="s">
        <v>211</v>
      </c>
      <c r="L3" s="44" t="s">
        <v>217</v>
      </c>
      <c r="M3" s="44" t="s">
        <v>206</v>
      </c>
      <c r="N3" s="44"/>
      <c r="O3" s="44"/>
      <c r="P3" s="44"/>
    </row>
    <row r="4" spans="1:16" s="50" customFormat="1" ht="12.75">
      <c r="A4" s="44" t="s">
        <v>79</v>
      </c>
      <c r="B4" s="45" t="s">
        <v>549</v>
      </c>
      <c r="C4" s="44" t="s">
        <v>215</v>
      </c>
      <c r="D4" s="44" t="s">
        <v>216</v>
      </c>
      <c r="E4" s="44">
        <v>92</v>
      </c>
      <c r="F4" s="44">
        <v>100000</v>
      </c>
      <c r="G4" s="44">
        <v>4</v>
      </c>
      <c r="H4" s="44">
        <v>11</v>
      </c>
      <c r="I4" s="44">
        <v>15</v>
      </c>
      <c r="J4" s="54">
        <v>10.5</v>
      </c>
      <c r="K4" s="54"/>
      <c r="L4" s="44">
        <v>85574</v>
      </c>
      <c r="M4" s="44"/>
      <c r="N4" s="44"/>
      <c r="O4" s="44"/>
      <c r="P4" s="44"/>
    </row>
    <row r="5" spans="1:16" s="43" customFormat="1" ht="12.75">
      <c r="A5" s="41"/>
      <c r="B5" s="41"/>
      <c r="C5" s="41"/>
      <c r="D5" s="41"/>
      <c r="E5" s="41"/>
      <c r="F5" s="41"/>
      <c r="G5" s="41"/>
      <c r="H5" s="41"/>
      <c r="I5" s="41"/>
      <c r="J5" s="42"/>
      <c r="K5" s="42"/>
      <c r="L5" s="41"/>
      <c r="M5" s="41"/>
      <c r="N5" s="41"/>
      <c r="O5" s="41"/>
      <c r="P5" s="41"/>
    </row>
    <row r="6" spans="6:14" ht="12.75">
      <c r="F6" s="1" t="s">
        <v>560</v>
      </c>
      <c r="J6" s="52" t="s">
        <v>554</v>
      </c>
      <c r="K6" s="52" t="s">
        <v>551</v>
      </c>
      <c r="L6" s="6" t="s">
        <v>555</v>
      </c>
      <c r="M6" s="6" t="s">
        <v>556</v>
      </c>
      <c r="N6" s="6" t="s">
        <v>557</v>
      </c>
    </row>
    <row r="7" spans="6:14" ht="12.75">
      <c r="F7" s="57">
        <f>+F4/1.93627</f>
        <v>51645.68990894865</v>
      </c>
      <c r="J7" s="58">
        <v>33909</v>
      </c>
      <c r="K7" s="6">
        <v>1</v>
      </c>
      <c r="L7" s="57">
        <f>PPMT($F$13,K7,$F$11,-$F$7,0)</f>
        <v>1562.1789069469223</v>
      </c>
      <c r="M7" s="57">
        <f>IPMT($F$13,K7,$F$11,-$F$7)</f>
        <v>5422.797440439607</v>
      </c>
      <c r="N7" s="57">
        <f>+F7-L7</f>
        <v>50083.511002001724</v>
      </c>
    </row>
    <row r="8" spans="6:14" ht="12.75">
      <c r="F8" s="1" t="s">
        <v>357</v>
      </c>
      <c r="J8" s="58">
        <v>34274</v>
      </c>
      <c r="K8" s="6">
        <v>2</v>
      </c>
      <c r="L8" s="57">
        <f aca="true" t="shared" si="0" ref="L8:L21">PPMT($F$13,K8,$F$11,-$F$7,0)</f>
        <v>1726.2076921763492</v>
      </c>
      <c r="M8" s="57">
        <f aca="true" t="shared" si="1" ref="M8:M21">IPMT($F$13,K8,$F$11,-$F$7)</f>
        <v>5258.76865521018</v>
      </c>
      <c r="N8" s="57">
        <f>+N7-L8</f>
        <v>48357.30330982537</v>
      </c>
    </row>
    <row r="9" spans="6:14" ht="12.75">
      <c r="F9" s="57">
        <f>+L8+M8</f>
        <v>6984.97634738653</v>
      </c>
      <c r="J9" s="58">
        <v>34639</v>
      </c>
      <c r="K9" s="6">
        <v>3</v>
      </c>
      <c r="L9" s="57">
        <f t="shared" si="0"/>
        <v>1907.4594998548655</v>
      </c>
      <c r="M9" s="57">
        <f t="shared" si="1"/>
        <v>5077.516847531664</v>
      </c>
      <c r="N9" s="57">
        <f aca="true" t="shared" si="2" ref="N9:N21">+N8-L9</f>
        <v>46449.84380997051</v>
      </c>
    </row>
    <row r="10" spans="6:14" ht="12.75">
      <c r="F10" s="1" t="s">
        <v>558</v>
      </c>
      <c r="J10" s="58">
        <v>35004</v>
      </c>
      <c r="K10" s="6">
        <v>4</v>
      </c>
      <c r="L10" s="57">
        <f t="shared" si="0"/>
        <v>2107.7427473396256</v>
      </c>
      <c r="M10" s="57">
        <f t="shared" si="1"/>
        <v>4877.233600046904</v>
      </c>
      <c r="N10" s="57">
        <f t="shared" si="2"/>
        <v>44342.101062630885</v>
      </c>
    </row>
    <row r="11" spans="6:14" ht="12.75">
      <c r="F11" s="1">
        <v>15</v>
      </c>
      <c r="J11" s="58">
        <v>35370</v>
      </c>
      <c r="K11" s="6">
        <v>5</v>
      </c>
      <c r="L11" s="57">
        <f t="shared" si="0"/>
        <v>2329.055735810287</v>
      </c>
      <c r="M11" s="57">
        <f t="shared" si="1"/>
        <v>4655.920611576243</v>
      </c>
      <c r="N11" s="57">
        <f t="shared" si="2"/>
        <v>42013.0453268206</v>
      </c>
    </row>
    <row r="12" spans="6:14" ht="12.75">
      <c r="F12" s="1" t="s">
        <v>559</v>
      </c>
      <c r="J12" s="58">
        <v>35735</v>
      </c>
      <c r="K12" s="6">
        <v>6</v>
      </c>
      <c r="L12" s="57">
        <f t="shared" si="0"/>
        <v>2573.606588070368</v>
      </c>
      <c r="M12" s="57">
        <f t="shared" si="1"/>
        <v>4411.369759316161</v>
      </c>
      <c r="N12" s="57">
        <f t="shared" si="2"/>
        <v>39439.43873875023</v>
      </c>
    </row>
    <row r="13" spans="6:14" ht="12.75">
      <c r="F13" s="5">
        <v>0.105</v>
      </c>
      <c r="J13" s="58">
        <v>36100</v>
      </c>
      <c r="K13" s="6">
        <v>7</v>
      </c>
      <c r="L13" s="57">
        <f t="shared" si="0"/>
        <v>2843.8352798177566</v>
      </c>
      <c r="M13" s="57">
        <f t="shared" si="1"/>
        <v>4141.141067568773</v>
      </c>
      <c r="N13" s="57">
        <f t="shared" si="2"/>
        <v>36595.60345893247</v>
      </c>
    </row>
    <row r="14" spans="10:14" ht="12.75">
      <c r="J14" s="58">
        <v>36465</v>
      </c>
      <c r="K14" s="6">
        <v>8</v>
      </c>
      <c r="L14" s="57">
        <f t="shared" si="0"/>
        <v>3142.4379841986206</v>
      </c>
      <c r="M14" s="57">
        <f t="shared" si="1"/>
        <v>3842.538363187909</v>
      </c>
      <c r="N14" s="57">
        <f t="shared" si="2"/>
        <v>33453.16547473385</v>
      </c>
    </row>
    <row r="15" spans="10:14" ht="12.75">
      <c r="J15" s="58">
        <v>36831</v>
      </c>
      <c r="K15" s="6">
        <v>9</v>
      </c>
      <c r="L15" s="57">
        <f t="shared" si="0"/>
        <v>3472.3939725394744</v>
      </c>
      <c r="M15" s="57">
        <f t="shared" si="1"/>
        <v>3512.5823748470552</v>
      </c>
      <c r="N15" s="57">
        <f t="shared" si="2"/>
        <v>29980.771502194373</v>
      </c>
    </row>
    <row r="16" spans="10:14" ht="12.75">
      <c r="J16" s="58">
        <v>37196</v>
      </c>
      <c r="K16" s="6">
        <v>10</v>
      </c>
      <c r="L16" s="57">
        <f t="shared" si="0"/>
        <v>3836.995339656119</v>
      </c>
      <c r="M16" s="57">
        <f t="shared" si="1"/>
        <v>3147.9810077304105</v>
      </c>
      <c r="N16" s="57">
        <f t="shared" si="2"/>
        <v>26143.776162538255</v>
      </c>
    </row>
    <row r="17" spans="10:14" ht="12.75">
      <c r="J17" s="58">
        <v>37561</v>
      </c>
      <c r="K17" s="6">
        <v>11</v>
      </c>
      <c r="L17" s="57">
        <f t="shared" si="0"/>
        <v>4239.879850320016</v>
      </c>
      <c r="M17" s="57">
        <f t="shared" si="1"/>
        <v>2745.0964970665136</v>
      </c>
      <c r="N17" s="57">
        <f t="shared" si="2"/>
        <v>21903.89631221824</v>
      </c>
    </row>
    <row r="18" spans="10:14" ht="12.75">
      <c r="J18" s="58">
        <v>37926</v>
      </c>
      <c r="K18" s="6">
        <v>12</v>
      </c>
      <c r="L18" s="57">
        <f t="shared" si="0"/>
        <v>4685.0672346036135</v>
      </c>
      <c r="M18" s="57">
        <f t="shared" si="1"/>
        <v>2299.9091127829156</v>
      </c>
      <c r="N18" s="57">
        <f t="shared" si="2"/>
        <v>17218.829077614624</v>
      </c>
    </row>
    <row r="19" spans="10:14" ht="12.75">
      <c r="J19" s="58">
        <v>38292</v>
      </c>
      <c r="K19" s="6">
        <v>13</v>
      </c>
      <c r="L19" s="57">
        <f t="shared" si="0"/>
        <v>5176.999294236995</v>
      </c>
      <c r="M19" s="57">
        <f t="shared" si="1"/>
        <v>1807.9770531495346</v>
      </c>
      <c r="N19" s="57">
        <f t="shared" si="2"/>
        <v>12041.829783377629</v>
      </c>
    </row>
    <row r="20" spans="10:14" ht="12.75">
      <c r="J20" s="58">
        <v>38657</v>
      </c>
      <c r="K20" s="6">
        <v>14</v>
      </c>
      <c r="L20" s="57">
        <f t="shared" si="0"/>
        <v>5720.58422013188</v>
      </c>
      <c r="M20" s="57">
        <f t="shared" si="1"/>
        <v>1264.3921272546497</v>
      </c>
      <c r="N20" s="57">
        <f t="shared" si="2"/>
        <v>6321.245563245749</v>
      </c>
    </row>
    <row r="21" spans="10:14" ht="12.75">
      <c r="J21" s="58">
        <v>39022</v>
      </c>
      <c r="K21" s="6">
        <v>15</v>
      </c>
      <c r="L21" s="57">
        <f t="shared" si="0"/>
        <v>6321.245563245729</v>
      </c>
      <c r="M21" s="57">
        <f t="shared" si="1"/>
        <v>663.7307841408013</v>
      </c>
      <c r="N21" s="57">
        <f t="shared" si="2"/>
        <v>2.000888343900442E-11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3">
    <pageSetUpPr fitToPage="1"/>
  </sheetPr>
  <dimension ref="A1:V20"/>
  <sheetViews>
    <sheetView workbookViewId="0" topLeftCell="A1">
      <selection activeCell="A1" sqref="A1"/>
    </sheetView>
  </sheetViews>
  <sheetFormatPr defaultColWidth="9.140625" defaultRowHeight="12.75"/>
  <cols>
    <col min="1" max="2" width="2.7109375" style="1" customWidth="1"/>
    <col min="3" max="3" width="4.7109375" style="1" customWidth="1"/>
    <col min="4" max="4" width="24.140625" style="1" bestFit="1" customWidth="1"/>
    <col min="5" max="5" width="5.7109375" style="1" customWidth="1"/>
    <col min="6" max="6" width="8.140625" style="1" bestFit="1" customWidth="1"/>
    <col min="7" max="8" width="7.7109375" style="1" customWidth="1"/>
    <col min="9" max="9" width="6.7109375" style="1" customWidth="1"/>
    <col min="10" max="10" width="7.7109375" style="1" customWidth="1"/>
    <col min="11" max="17" width="5.7109375" style="1" customWidth="1"/>
    <col min="18" max="18" width="7.7109375" style="2" customWidth="1"/>
    <col min="19" max="19" width="5.7109375" style="1" customWidth="1"/>
    <col min="20" max="20" width="6.7109375" style="1" customWidth="1"/>
    <col min="21" max="21" width="7.7109375" style="1" customWidth="1"/>
    <col min="22" max="22" width="5.7109375" style="1" customWidth="1"/>
  </cols>
  <sheetData>
    <row r="1" spans="1:22" ht="12.75">
      <c r="A1" s="1" t="s">
        <v>1</v>
      </c>
      <c r="B1" s="1" t="s">
        <v>158</v>
      </c>
      <c r="C1" s="1" t="s">
        <v>159</v>
      </c>
      <c r="D1" s="1" t="s">
        <v>3</v>
      </c>
      <c r="E1" s="1" t="s">
        <v>160</v>
      </c>
      <c r="F1" s="1" t="s">
        <v>161</v>
      </c>
      <c r="G1" s="1" t="s">
        <v>162</v>
      </c>
      <c r="H1" s="1" t="s">
        <v>453</v>
      </c>
      <c r="I1" s="1" t="s">
        <v>163</v>
      </c>
      <c r="J1" s="1" t="s">
        <v>164</v>
      </c>
      <c r="K1" s="1" t="s">
        <v>165</v>
      </c>
      <c r="L1" s="1" t="s">
        <v>166</v>
      </c>
      <c r="M1" s="1" t="s">
        <v>167</v>
      </c>
      <c r="N1" s="1" t="s">
        <v>168</v>
      </c>
      <c r="O1" s="1" t="s">
        <v>169</v>
      </c>
      <c r="P1" s="1" t="s">
        <v>170</v>
      </c>
      <c r="Q1" s="1" t="s">
        <v>171</v>
      </c>
      <c r="R1" s="2" t="s">
        <v>172</v>
      </c>
      <c r="S1" s="1" t="s">
        <v>173</v>
      </c>
      <c r="T1" s="1" t="s">
        <v>174</v>
      </c>
      <c r="U1" s="1" t="s">
        <v>175</v>
      </c>
      <c r="V1" s="1" t="s">
        <v>176</v>
      </c>
    </row>
    <row r="2" spans="1:22" ht="12.75">
      <c r="A2" s="59" t="s">
        <v>549</v>
      </c>
      <c r="B2" s="1" t="s">
        <v>177</v>
      </c>
      <c r="C2" s="1" t="s">
        <v>178</v>
      </c>
      <c r="D2" s="1" t="s">
        <v>179</v>
      </c>
      <c r="E2" s="1">
        <v>5</v>
      </c>
      <c r="F2" s="1">
        <v>650</v>
      </c>
      <c r="G2" s="1">
        <f>+F2*E2</f>
        <v>3250</v>
      </c>
      <c r="H2" s="1">
        <v>2</v>
      </c>
      <c r="I2" s="1">
        <v>100</v>
      </c>
      <c r="J2" s="1">
        <f>+I2*H2</f>
        <v>200</v>
      </c>
      <c r="K2" s="1">
        <v>0</v>
      </c>
      <c r="L2" s="1">
        <v>5</v>
      </c>
      <c r="M2" s="1">
        <v>5</v>
      </c>
      <c r="N2" s="1">
        <v>4</v>
      </c>
      <c r="O2" s="1">
        <v>4</v>
      </c>
      <c r="P2" s="1">
        <v>3</v>
      </c>
      <c r="Q2" s="1">
        <v>3</v>
      </c>
      <c r="R2" s="2">
        <v>4</v>
      </c>
      <c r="S2" s="1">
        <v>2</v>
      </c>
      <c r="T2" s="1">
        <v>100</v>
      </c>
      <c r="U2" s="1">
        <f>+S2*T2</f>
        <v>200</v>
      </c>
      <c r="V2" s="1">
        <v>0</v>
      </c>
    </row>
    <row r="3" spans="1:22" ht="12.75">
      <c r="A3" s="59" t="s">
        <v>549</v>
      </c>
      <c r="B3" s="1" t="s">
        <v>177</v>
      </c>
      <c r="C3" s="1" t="s">
        <v>186</v>
      </c>
      <c r="D3" s="1" t="s">
        <v>187</v>
      </c>
      <c r="E3" s="1">
        <v>40</v>
      </c>
      <c r="F3" s="1">
        <v>390</v>
      </c>
      <c r="G3" s="1">
        <f>+F3*E3</f>
        <v>15600</v>
      </c>
      <c r="H3" s="1">
        <v>38</v>
      </c>
      <c r="I3" s="1">
        <v>390</v>
      </c>
      <c r="J3" s="1">
        <f>+I3*H3</f>
        <v>14820</v>
      </c>
      <c r="K3" s="1">
        <v>0</v>
      </c>
      <c r="L3" s="1">
        <v>40</v>
      </c>
      <c r="M3" s="1">
        <v>40</v>
      </c>
      <c r="N3" s="1">
        <v>41</v>
      </c>
      <c r="O3" s="1">
        <v>39</v>
      </c>
      <c r="P3" s="1">
        <v>38</v>
      </c>
      <c r="Q3" s="1">
        <v>38</v>
      </c>
      <c r="R3" s="2">
        <v>39.3</v>
      </c>
      <c r="S3" s="1">
        <v>38</v>
      </c>
      <c r="T3" s="1">
        <v>390</v>
      </c>
      <c r="U3" s="1">
        <f>+S3*T3</f>
        <v>14820</v>
      </c>
      <c r="V3" s="1">
        <v>0</v>
      </c>
    </row>
    <row r="4" spans="1:22" ht="12.75">
      <c r="A4" s="59" t="s">
        <v>549</v>
      </c>
      <c r="B4" s="1" t="s">
        <v>177</v>
      </c>
      <c r="C4" s="1" t="s">
        <v>180</v>
      </c>
      <c r="D4" s="1" t="s">
        <v>181</v>
      </c>
      <c r="E4" s="1">
        <v>50</v>
      </c>
      <c r="F4" s="1">
        <v>520</v>
      </c>
      <c r="G4" s="1">
        <f>+F4*E4</f>
        <v>26000</v>
      </c>
      <c r="H4" s="1">
        <v>40</v>
      </c>
      <c r="I4" s="1">
        <v>520</v>
      </c>
      <c r="J4" s="1">
        <f>+I4*H4</f>
        <v>20800</v>
      </c>
      <c r="K4" s="1">
        <v>0</v>
      </c>
      <c r="L4" s="1">
        <v>50</v>
      </c>
      <c r="M4" s="1">
        <v>48</v>
      </c>
      <c r="N4" s="1">
        <v>48</v>
      </c>
      <c r="O4" s="1">
        <v>43</v>
      </c>
      <c r="P4" s="1">
        <v>41</v>
      </c>
      <c r="Q4" s="1">
        <v>40</v>
      </c>
      <c r="R4" s="2">
        <v>45</v>
      </c>
      <c r="S4" s="1">
        <v>40</v>
      </c>
      <c r="T4" s="1">
        <v>520</v>
      </c>
      <c r="U4" s="1">
        <f>+S4*T4</f>
        <v>20800</v>
      </c>
      <c r="V4" s="1">
        <v>0</v>
      </c>
    </row>
    <row r="5" spans="1:22" ht="12.75">
      <c r="A5" s="59" t="s">
        <v>549</v>
      </c>
      <c r="B5" s="1" t="s">
        <v>177</v>
      </c>
      <c r="C5" s="1" t="s">
        <v>182</v>
      </c>
      <c r="D5" s="1" t="s">
        <v>183</v>
      </c>
      <c r="E5" s="1">
        <v>30</v>
      </c>
      <c r="F5" s="1">
        <v>800</v>
      </c>
      <c r="G5" s="1">
        <f>+F5*E5</f>
        <v>24000</v>
      </c>
      <c r="H5" s="1">
        <v>45</v>
      </c>
      <c r="I5" s="1">
        <v>800</v>
      </c>
      <c r="J5" s="1">
        <f>+I5*H5</f>
        <v>36000</v>
      </c>
      <c r="K5" s="1">
        <v>0</v>
      </c>
      <c r="L5" s="1">
        <v>30</v>
      </c>
      <c r="M5" s="1">
        <v>32</v>
      </c>
      <c r="N5" s="1">
        <v>35</v>
      </c>
      <c r="O5" s="1">
        <v>43</v>
      </c>
      <c r="P5" s="1">
        <v>45</v>
      </c>
      <c r="Q5" s="1">
        <v>45</v>
      </c>
      <c r="R5" s="2">
        <v>38.3</v>
      </c>
      <c r="S5" s="1">
        <v>45</v>
      </c>
      <c r="T5" s="1">
        <v>800</v>
      </c>
      <c r="U5" s="1">
        <f>+S5*T5</f>
        <v>36000</v>
      </c>
      <c r="V5" s="1">
        <v>0</v>
      </c>
    </row>
    <row r="6" spans="1:22" ht="12.75">
      <c r="A6" s="59" t="s">
        <v>549</v>
      </c>
      <c r="B6" s="1" t="s">
        <v>177</v>
      </c>
      <c r="C6" s="1" t="s">
        <v>184</v>
      </c>
      <c r="D6" s="1" t="s">
        <v>185</v>
      </c>
      <c r="E6" s="1">
        <v>114</v>
      </c>
      <c r="F6" s="1">
        <v>450</v>
      </c>
      <c r="G6" s="1">
        <f>+F6*E6</f>
        <v>51300</v>
      </c>
      <c r="H6" s="1">
        <v>115</v>
      </c>
      <c r="I6" s="1">
        <v>450</v>
      </c>
      <c r="J6" s="1">
        <f>+I6*H6</f>
        <v>51750</v>
      </c>
      <c r="K6" s="1">
        <v>0</v>
      </c>
      <c r="L6" s="1">
        <v>114</v>
      </c>
      <c r="M6" s="1">
        <v>114</v>
      </c>
      <c r="N6" s="1">
        <v>114</v>
      </c>
      <c r="O6" s="1">
        <v>115</v>
      </c>
      <c r="P6" s="1">
        <v>115</v>
      </c>
      <c r="Q6" s="1">
        <v>115</v>
      </c>
      <c r="R6" s="2">
        <v>114.5</v>
      </c>
      <c r="S6" s="1">
        <v>115</v>
      </c>
      <c r="T6" s="1">
        <v>450</v>
      </c>
      <c r="U6" s="1">
        <f>+S6*T6</f>
        <v>51750</v>
      </c>
      <c r="V6" s="1">
        <v>0</v>
      </c>
    </row>
    <row r="7" spans="4:21" ht="12.75">
      <c r="D7" s="1" t="s">
        <v>561</v>
      </c>
      <c r="E7" s="1">
        <f>SUM(E2:E6)</f>
        <v>239</v>
      </c>
      <c r="G7" s="1">
        <f>SUM(G2:G6)</f>
        <v>120150</v>
      </c>
      <c r="H7" s="1">
        <f>SUM(H2:H6)</f>
        <v>240</v>
      </c>
      <c r="J7" s="1">
        <f>SUM(J2:J6)</f>
        <v>123570</v>
      </c>
      <c r="S7" s="1">
        <f>SUM(S2:S6)</f>
        <v>240</v>
      </c>
      <c r="U7" s="1">
        <f>SUM(U2:U6)</f>
        <v>123570</v>
      </c>
    </row>
    <row r="8" spans="4:18" ht="12.75">
      <c r="D8" s="1" t="s">
        <v>351</v>
      </c>
      <c r="E8" s="1">
        <f>+R8</f>
        <v>46</v>
      </c>
      <c r="L8" s="1">
        <v>8</v>
      </c>
      <c r="M8" s="1">
        <v>8</v>
      </c>
      <c r="N8" s="1">
        <v>8</v>
      </c>
      <c r="O8" s="1">
        <v>7</v>
      </c>
      <c r="P8" s="1">
        <v>8</v>
      </c>
      <c r="Q8" s="1">
        <v>7</v>
      </c>
      <c r="R8" s="2">
        <f>SUM(L8:Q8)</f>
        <v>46</v>
      </c>
    </row>
    <row r="9" spans="4:18" ht="12.75">
      <c r="D9" s="1" t="s">
        <v>352</v>
      </c>
      <c r="E9" s="1">
        <f>+R9</f>
        <v>47</v>
      </c>
      <c r="L9" s="1">
        <v>8</v>
      </c>
      <c r="M9" s="1">
        <v>8</v>
      </c>
      <c r="N9" s="1">
        <v>7</v>
      </c>
      <c r="O9" s="1">
        <v>8</v>
      </c>
      <c r="P9" s="1">
        <v>8</v>
      </c>
      <c r="Q9" s="1">
        <v>8</v>
      </c>
      <c r="R9" s="2">
        <f>SUM(L9:Q9)</f>
        <v>47</v>
      </c>
    </row>
    <row r="10" spans="4:18" ht="12.75">
      <c r="D10" s="1" t="s">
        <v>354</v>
      </c>
      <c r="H10" s="1">
        <v>44</v>
      </c>
      <c r="I10" s="1">
        <v>100</v>
      </c>
      <c r="J10" s="1">
        <f>+I10*H10</f>
        <v>4400</v>
      </c>
      <c r="L10" s="1">
        <f>+L8</f>
        <v>8</v>
      </c>
      <c r="M10" s="1">
        <f>+M8</f>
        <v>8</v>
      </c>
      <c r="N10" s="1">
        <f>+N8+1</f>
        <v>9</v>
      </c>
      <c r="O10" s="1">
        <f>+O8</f>
        <v>7</v>
      </c>
      <c r="P10" s="1">
        <f>+P8+1</f>
        <v>9</v>
      </c>
      <c r="Q10" s="1">
        <f>+Q8+1</f>
        <v>8</v>
      </c>
      <c r="R10" s="2">
        <f>SUM(L10:Q10)</f>
        <v>49</v>
      </c>
    </row>
    <row r="11" spans="4:10" ht="12.75">
      <c r="D11" s="1" t="s">
        <v>933</v>
      </c>
      <c r="H11" s="1">
        <v>5</v>
      </c>
      <c r="I11" s="1">
        <v>640</v>
      </c>
      <c r="J11" s="1">
        <f>+I11*H11</f>
        <v>3200</v>
      </c>
    </row>
    <row r="12" spans="4:18" ht="12.75">
      <c r="D12" s="1" t="s">
        <v>353</v>
      </c>
      <c r="H12" s="1">
        <v>5</v>
      </c>
      <c r="I12" s="1">
        <v>100</v>
      </c>
      <c r="J12" s="1">
        <f>+I12*H12</f>
        <v>500</v>
      </c>
      <c r="L12" s="1">
        <v>0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2">
        <f>SUM(L12:Q12)</f>
        <v>5</v>
      </c>
    </row>
    <row r="13" spans="4:18" ht="12.75">
      <c r="D13" s="1" t="s">
        <v>350</v>
      </c>
      <c r="H13" s="1">
        <v>38</v>
      </c>
      <c r="I13" s="1">
        <v>425</v>
      </c>
      <c r="J13" s="1">
        <f>+I13*H13</f>
        <v>16150</v>
      </c>
      <c r="L13" s="1">
        <f>+L6+L20-M6</f>
        <v>5</v>
      </c>
      <c r="M13" s="1">
        <f>+M6+M20-N6</f>
        <v>5</v>
      </c>
      <c r="N13" s="1">
        <f>+N6+N20-O6</f>
        <v>4</v>
      </c>
      <c r="O13" s="1">
        <f>+O6+O20-P6</f>
        <v>8</v>
      </c>
      <c r="P13" s="1">
        <f>+P6+P20-Q6</f>
        <v>8</v>
      </c>
      <c r="Q13" s="1">
        <f>+Q6+Q20-S6</f>
        <v>8</v>
      </c>
      <c r="R13" s="2">
        <f>SUM(L13:Q13)</f>
        <v>38</v>
      </c>
    </row>
    <row r="14" spans="4:10" ht="12.75">
      <c r="D14" s="1" t="s">
        <v>562</v>
      </c>
      <c r="E14" s="1">
        <f>+R8+R9</f>
        <v>93</v>
      </c>
      <c r="H14" s="1">
        <f>SUM(H10:H13)</f>
        <v>92</v>
      </c>
      <c r="J14" s="1">
        <f>SUM(J10:J13)</f>
        <v>24250</v>
      </c>
    </row>
    <row r="15" spans="4:10" ht="12.75">
      <c r="D15" s="1" t="s">
        <v>563</v>
      </c>
      <c r="E15" s="1">
        <f>+E7+E14</f>
        <v>332</v>
      </c>
      <c r="G15" s="1">
        <f>+G7+G14</f>
        <v>120150</v>
      </c>
      <c r="H15" s="1">
        <f>+H7+H14</f>
        <v>332</v>
      </c>
      <c r="J15" s="1">
        <f>+J7+J14</f>
        <v>147820</v>
      </c>
    </row>
    <row r="16" spans="4:7" ht="12.75">
      <c r="D16" s="1" t="s">
        <v>947</v>
      </c>
      <c r="G16" s="1">
        <f>+J7+J14-G7</f>
        <v>27670</v>
      </c>
    </row>
    <row r="17" ht="12.75">
      <c r="G17" s="1">
        <f>+G16+G15</f>
        <v>147820</v>
      </c>
    </row>
    <row r="18" spans="4:18" ht="12.75">
      <c r="D18" s="1" t="s">
        <v>356</v>
      </c>
      <c r="E18" s="1">
        <f>+R18</f>
        <v>52</v>
      </c>
      <c r="L18" s="1">
        <f>+M3-L3+L19</f>
        <v>7</v>
      </c>
      <c r="M18" s="1">
        <f>+N3-M3+M19</f>
        <v>9</v>
      </c>
      <c r="N18" s="1">
        <f>+O3-N3+N19</f>
        <v>11</v>
      </c>
      <c r="O18" s="1">
        <f>+P3-O3+O19</f>
        <v>9</v>
      </c>
      <c r="P18" s="1">
        <f>+Q3-P3+P19</f>
        <v>8</v>
      </c>
      <c r="Q18" s="1">
        <f>+S3-Q3+Q19</f>
        <v>8</v>
      </c>
      <c r="R18" s="2">
        <f>SUM(L18:Q18)</f>
        <v>52</v>
      </c>
    </row>
    <row r="19" spans="4:18" ht="12.75">
      <c r="D19" s="1" t="s">
        <v>355</v>
      </c>
      <c r="E19" s="1">
        <f>+R19</f>
        <v>54</v>
      </c>
      <c r="L19" s="1">
        <f>+M5-L5+L20</f>
        <v>7</v>
      </c>
      <c r="M19" s="1">
        <f>+N5-M5+M20</f>
        <v>8</v>
      </c>
      <c r="N19" s="1">
        <f>+O5-N5+N20</f>
        <v>13</v>
      </c>
      <c r="O19" s="1">
        <f>+P5-O5+O20</f>
        <v>10</v>
      </c>
      <c r="P19" s="1">
        <f>+Q5-P5+P20</f>
        <v>8</v>
      </c>
      <c r="Q19" s="1">
        <f>+S5-Q5+Q20</f>
        <v>8</v>
      </c>
      <c r="R19" s="2">
        <f>SUM(L19:Q19)</f>
        <v>54</v>
      </c>
    </row>
    <row r="20" spans="4:18" ht="12.75">
      <c r="D20" s="1" t="s">
        <v>349</v>
      </c>
      <c r="E20" s="1">
        <f>+R20</f>
        <v>39</v>
      </c>
      <c r="L20" s="1">
        <v>5</v>
      </c>
      <c r="M20" s="1">
        <v>5</v>
      </c>
      <c r="N20" s="1">
        <v>5</v>
      </c>
      <c r="O20" s="1">
        <v>8</v>
      </c>
      <c r="P20" s="1">
        <v>8</v>
      </c>
      <c r="Q20" s="1">
        <v>8</v>
      </c>
      <c r="R20" s="2">
        <f>SUM(L20:Q20)</f>
        <v>39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D.E.P.A.A.A.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Pretolani</dc:creator>
  <cp:keywords/>
  <dc:description/>
  <cp:lastModifiedBy>Roberto Pretolani</cp:lastModifiedBy>
  <cp:lastPrinted>2004-03-02T15:57:57Z</cp:lastPrinted>
  <dcterms:created xsi:type="dcterms:W3CDTF">1998-04-09T15:34:02Z</dcterms:created>
  <dcterms:modified xsi:type="dcterms:W3CDTF">2009-01-27T17:21:15Z</dcterms:modified>
  <cp:category/>
  <cp:version/>
  <cp:contentType/>
  <cp:contentStatus/>
</cp:coreProperties>
</file>