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1"/>
  </bookViews>
  <sheets>
    <sheet name="HC Forte con DOH forte" sheetId="1" r:id="rId1"/>
    <sheet name="Esempio HA Debole con DOH forte" sheetId="2" r:id="rId2"/>
    <sheet name="Maschera HA Debole da riempire" sheetId="3" r:id="rId3"/>
    <sheet name="Es H2A Debole con DOH forte" sheetId="4" r:id="rId4"/>
    <sheet name="Maschera H2A Debole da riempire" sheetId="5" r:id="rId5"/>
    <sheet name="De Levie H3A" sheetId="6" r:id="rId6"/>
    <sheet name="De Levie H2A" sheetId="7" r:id="rId7"/>
    <sheet name="De Levie HA" sheetId="8" r:id="rId8"/>
    <sheet name="De Levie HC (forte)" sheetId="9" r:id="rId9"/>
  </sheets>
  <definedNames/>
  <calcPr fullCalcOnLoad="1"/>
</workbook>
</file>

<file path=xl/sharedStrings.xml><?xml version="1.0" encoding="utf-8"?>
<sst xmlns="http://schemas.openxmlformats.org/spreadsheetml/2006/main" count="257" uniqueCount="99">
  <si>
    <t xml:space="preserve">p.e. a </t>
  </si>
  <si>
    <t>Questo ci permette di delimitare le zone in cui usare le varie formule</t>
  </si>
  <si>
    <t>pH</t>
  </si>
  <si>
    <r>
      <t>K</t>
    </r>
    <r>
      <rPr>
        <vertAlign val="subscript"/>
        <sz val="10"/>
        <rFont val="Arial"/>
        <family val="2"/>
      </rPr>
      <t>W</t>
    </r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</si>
  <si>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 xml:space="preserve">] </t>
    </r>
  </si>
  <si>
    <r>
      <t>[OH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>]</t>
    </r>
  </si>
  <si>
    <r>
      <t>c</t>
    </r>
    <r>
      <rPr>
        <vertAlign val="subscript"/>
        <sz val="10"/>
        <color indexed="10"/>
        <rFont val="Arial"/>
        <family val="2"/>
      </rPr>
      <t>0</t>
    </r>
  </si>
  <si>
    <r>
      <t>V</t>
    </r>
    <r>
      <rPr>
        <vertAlign val="subscript"/>
        <sz val="10"/>
        <color indexed="10"/>
        <rFont val="Arial"/>
        <family val="2"/>
      </rPr>
      <t>0</t>
    </r>
  </si>
  <si>
    <r>
      <t>c</t>
    </r>
    <r>
      <rPr>
        <vertAlign val="subscript"/>
        <sz val="10"/>
        <color indexed="12"/>
        <rFont val="Arial"/>
        <family val="2"/>
      </rPr>
      <t>T</t>
    </r>
  </si>
  <si>
    <r>
      <t>mol dm</t>
    </r>
    <r>
      <rPr>
        <vertAlign val="superscript"/>
        <sz val="10"/>
        <color indexed="12"/>
        <rFont val="Arial"/>
        <family val="2"/>
      </rPr>
      <t>-3</t>
    </r>
  </si>
  <si>
    <r>
      <t>K</t>
    </r>
    <r>
      <rPr>
        <sz val="10"/>
        <rFont val="Arial"/>
        <family val="2"/>
      </rPr>
      <t>a</t>
    </r>
  </si>
  <si>
    <r>
      <t>K</t>
    </r>
    <r>
      <rPr>
        <sz val="10"/>
        <rFont val="Arial"/>
        <family val="2"/>
      </rPr>
      <t>b</t>
    </r>
  </si>
  <si>
    <r>
      <t>dm</t>
    </r>
    <r>
      <rPr>
        <b/>
        <vertAlign val="superscript"/>
        <sz val="10"/>
        <rFont val="Arial"/>
        <family val="2"/>
      </rPr>
      <t>3</t>
    </r>
  </si>
  <si>
    <r>
      <t>V</t>
    </r>
    <r>
      <rPr>
        <b/>
        <vertAlign val="subscript"/>
        <sz val="10"/>
        <rFont val="Arial"/>
        <family val="2"/>
      </rPr>
      <t>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/cm</t>
    </r>
    <r>
      <rPr>
        <vertAlign val="superscript"/>
        <sz val="10"/>
        <rFont val="Arial"/>
        <family val="2"/>
      </rPr>
      <t>3</t>
    </r>
  </si>
  <si>
    <t xml:space="preserve">Dati acido  debole da titolare </t>
  </si>
  <si>
    <t>Dato base forte titolante</t>
  </si>
  <si>
    <r>
      <t>dm</t>
    </r>
    <r>
      <rPr>
        <vertAlign val="superscript"/>
        <sz val="10"/>
        <color indexed="10"/>
        <rFont val="Arial"/>
        <family val="2"/>
      </rPr>
      <t>3</t>
    </r>
  </si>
  <si>
    <r>
      <t>mol dm</t>
    </r>
    <r>
      <rPr>
        <vertAlign val="superscript"/>
        <sz val="10"/>
        <color indexed="10"/>
        <rFont val="Arial"/>
        <family val="2"/>
      </rPr>
      <t>-3</t>
    </r>
  </si>
  <si>
    <r>
      <t>V</t>
    </r>
    <r>
      <rPr>
        <b/>
        <vertAlign val="subscript"/>
        <sz val="10"/>
        <rFont val="Arial"/>
        <family val="2"/>
      </rPr>
      <t>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</si>
  <si>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r>
      <t>(</t>
    </r>
    <r>
      <rPr>
        <b/>
        <i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+V</t>
    </r>
    <r>
      <rPr>
        <b/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</si>
  <si>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t>Acido debole</t>
  </si>
  <si>
    <t>Titolazione di acido debole HA con base forte DOH</t>
  </si>
  <si>
    <t xml:space="preserve">Dati acido  forte da titolare </t>
  </si>
  <si>
    <t>ACIDO FORTE</t>
  </si>
  <si>
    <t>BASE FORTE</t>
  </si>
  <si>
    <t>+ base debole</t>
  </si>
  <si>
    <t>coniugata</t>
  </si>
  <si>
    <t>punto di semititolazione</t>
  </si>
  <si>
    <t>(+ base debole)</t>
  </si>
  <si>
    <r>
      <t>c</t>
    </r>
    <r>
      <rPr>
        <b/>
        <vertAlign val="subscript"/>
        <sz val="10"/>
        <rFont val="Arial"/>
        <family val="2"/>
      </rPr>
      <t>af</t>
    </r>
    <r>
      <rPr>
        <vertAlign val="subscript"/>
        <sz val="10"/>
        <rFont val="Arial"/>
        <family val="2"/>
      </rPr>
      <t xml:space="preserve">  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</si>
  <si>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bf    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</si>
  <si>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ACIDO DEBOLE</t>
  </si>
  <si>
    <t>(SOLUZIONE TAMPONE)</t>
  </si>
  <si>
    <r>
      <t xml:space="preserve">in cui pH </t>
    </r>
    <r>
      <rPr>
        <sz val="10"/>
        <rFont val="Symbol"/>
        <family val="1"/>
      </rPr>
      <t></t>
    </r>
    <r>
      <rPr>
        <sz val="10"/>
        <rFont val="Arial Narrow"/>
        <family val="2"/>
      </rPr>
      <t xml:space="preserve"> pKa</t>
    </r>
  </si>
  <si>
    <r>
      <t xml:space="preserve">ACQUA (NEUTRALITA'):      </t>
    </r>
    <r>
      <rPr>
        <b/>
        <sz val="10"/>
        <rFont val="Arial Narrow"/>
        <family val="2"/>
      </rPr>
      <t>punto di equivalenza</t>
    </r>
  </si>
  <si>
    <r>
      <t>c</t>
    </r>
    <r>
      <rPr>
        <b/>
        <vertAlign val="subscript"/>
        <sz val="10"/>
        <rFont val="Arial"/>
        <family val="2"/>
      </rPr>
      <t>ad</t>
    </r>
    <r>
      <rPr>
        <vertAlign val="subscript"/>
        <sz val="10"/>
        <rFont val="Arial"/>
        <family val="2"/>
      </rPr>
      <t xml:space="preserve">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</si>
  <si>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bd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</si>
  <si>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bf  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</si>
  <si>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 xml:space="preserve">BASE DEBOLE       </t>
    </r>
    <r>
      <rPr>
        <b/>
        <sz val="10"/>
        <rFont val="Arial Narrow"/>
        <family val="2"/>
      </rPr>
      <t>(punto di equivalenza)</t>
    </r>
  </si>
  <si>
    <t>1. Titolazione di acido forte HC con base forte DOH</t>
  </si>
  <si>
    <r>
      <t>Titolazione di acido debole H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 con base forte DOH</t>
    </r>
  </si>
  <si>
    <t>(SOLUZIONE TAMPONE 1)</t>
  </si>
  <si>
    <t xml:space="preserve">I p.e. a </t>
  </si>
  <si>
    <r>
      <t>c</t>
    </r>
    <r>
      <rPr>
        <b/>
        <vertAlign val="subscript"/>
        <sz val="10"/>
        <rFont val="Arial"/>
        <family val="2"/>
      </rPr>
      <t>H2A</t>
    </r>
    <r>
      <rPr>
        <vertAlign val="subscript"/>
        <sz val="10"/>
        <rFont val="Arial"/>
        <family val="2"/>
      </rPr>
      <t xml:space="preserve">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</si>
  <si>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HA-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</si>
  <si>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c</t>
    </r>
    <r>
      <rPr>
        <b/>
        <vertAlign val="subscript"/>
        <sz val="10"/>
        <rFont val="Arial"/>
        <family val="2"/>
      </rPr>
      <t xml:space="preserve">A=                   </t>
    </r>
    <r>
      <rPr>
        <sz val="10"/>
        <rFont val="Arial"/>
        <family val="2"/>
      </rPr>
      <t>/ (mol dm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</si>
  <si>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ACIDO DEBOLE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A</t>
    </r>
  </si>
  <si>
    <r>
      <t>Acido debole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A</t>
    </r>
  </si>
  <si>
    <r>
      <t>+ base debole coniugata HA</t>
    </r>
    <r>
      <rPr>
        <vertAlign val="superscript"/>
        <sz val="10"/>
        <rFont val="Arial Narrow"/>
        <family val="2"/>
      </rPr>
      <t>-</t>
    </r>
  </si>
  <si>
    <r>
      <t xml:space="preserve">in cui pH </t>
    </r>
    <r>
      <rPr>
        <sz val="10"/>
        <rFont val="Symbol"/>
        <family val="1"/>
      </rPr>
      <t></t>
    </r>
    <r>
      <rPr>
        <sz val="10"/>
        <rFont val="Arial Narrow"/>
        <family val="2"/>
      </rPr>
      <t xml:space="preserve"> p</t>
    </r>
    <r>
      <rPr>
        <i/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a1</t>
    </r>
  </si>
  <si>
    <r>
      <t>SALE ACIDO ANFIPROTICO HA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>(I punto di equivalenza)</t>
    </r>
  </si>
  <si>
    <t>I punto di semititolazione</t>
  </si>
  <si>
    <r>
      <t>Acido debole HA</t>
    </r>
    <r>
      <rPr>
        <vertAlign val="superscript"/>
        <sz val="10"/>
        <rFont val="Arial Narrow"/>
        <family val="2"/>
      </rPr>
      <t>-</t>
    </r>
  </si>
  <si>
    <r>
      <t>+ base debole coniugata A</t>
    </r>
    <r>
      <rPr>
        <vertAlign val="superscript"/>
        <sz val="10"/>
        <rFont val="Arial Narrow"/>
        <family val="2"/>
      </rPr>
      <t>=</t>
    </r>
  </si>
  <si>
    <t>(SOLUZIONE TAMPONE 2)</t>
  </si>
  <si>
    <r>
      <t xml:space="preserve">in cui pH </t>
    </r>
    <r>
      <rPr>
        <sz val="10"/>
        <rFont val="Symbol"/>
        <family val="1"/>
      </rPr>
      <t></t>
    </r>
    <r>
      <rPr>
        <sz val="10"/>
        <rFont val="Arial Narrow"/>
        <family val="2"/>
      </rPr>
      <t xml:space="preserve"> p</t>
    </r>
    <r>
      <rPr>
        <i/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a2</t>
    </r>
  </si>
  <si>
    <t>II punto di semititolazione</t>
  </si>
  <si>
    <r>
      <t>(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0</t>
    </r>
    <r>
      <rPr>
        <b/>
        <i/>
        <sz val="10"/>
        <rFont val="Arial"/>
        <family val="2"/>
      </rPr>
      <t>+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</si>
  <si>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r>
      <t>BASE DEBOLE A</t>
    </r>
    <r>
      <rPr>
        <vertAlign val="superscript"/>
        <sz val="10"/>
        <rFont val="Arial Narrow"/>
        <family val="2"/>
      </rPr>
      <t>=</t>
    </r>
  </si>
  <si>
    <r>
      <t>c</t>
    </r>
    <r>
      <rPr>
        <vertAlign val="subscript"/>
        <sz val="10"/>
        <color indexed="14"/>
        <rFont val="Arial"/>
        <family val="2"/>
      </rPr>
      <t>0</t>
    </r>
  </si>
  <si>
    <r>
      <t>mol dm</t>
    </r>
    <r>
      <rPr>
        <vertAlign val="superscript"/>
        <sz val="10"/>
        <color indexed="14"/>
        <rFont val="Arial"/>
        <family val="2"/>
      </rPr>
      <t>-3</t>
    </r>
  </si>
  <si>
    <r>
      <t>V</t>
    </r>
    <r>
      <rPr>
        <vertAlign val="subscript"/>
        <sz val="10"/>
        <color indexed="14"/>
        <rFont val="Arial"/>
        <family val="2"/>
      </rPr>
      <t>0</t>
    </r>
  </si>
  <si>
    <r>
      <t>dm</t>
    </r>
    <r>
      <rPr>
        <vertAlign val="superscript"/>
        <sz val="10"/>
        <color indexed="14"/>
        <rFont val="Arial"/>
        <family val="2"/>
      </rPr>
      <t>3</t>
    </r>
  </si>
  <si>
    <r>
      <t>p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a</t>
    </r>
  </si>
  <si>
    <t>Delta</t>
  </si>
  <si>
    <r>
      <t>H</t>
    </r>
    <r>
      <rPr>
        <b/>
        <vertAlign val="superscript"/>
        <sz val="10"/>
        <rFont val="Arial"/>
        <family val="2"/>
      </rPr>
      <t>+</t>
    </r>
  </si>
  <si>
    <r>
      <t>a</t>
    </r>
    <r>
      <rPr>
        <b/>
        <vertAlign val="subscript"/>
        <sz val="10"/>
        <rFont val="Arial"/>
        <family val="2"/>
      </rPr>
      <t>3</t>
    </r>
  </si>
  <si>
    <r>
      <t>a</t>
    </r>
    <r>
      <rPr>
        <b/>
        <vertAlign val="subscript"/>
        <sz val="10"/>
        <rFont val="Arial"/>
        <family val="2"/>
      </rPr>
      <t>2</t>
    </r>
  </si>
  <si>
    <r>
      <t>a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</si>
  <si>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0</t>
    </r>
  </si>
  <si>
    <t>Eventuale volume aggiuntivo per immersione elettrodi</t>
  </si>
  <si>
    <r>
      <t>V</t>
    </r>
    <r>
      <rPr>
        <vertAlign val="subscript"/>
        <sz val="10"/>
        <rFont val="Arial"/>
        <family val="2"/>
      </rPr>
      <t>agg</t>
    </r>
  </si>
  <si>
    <r>
      <t>(</t>
    </r>
    <r>
      <rPr>
        <b/>
        <i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0</t>
    </r>
    <r>
      <rPr>
        <sz val="10"/>
        <rFont val="Arial"/>
        <family val="2"/>
      </rPr>
      <t>[+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agg</t>
    </r>
    <r>
      <rPr>
        <sz val="10"/>
        <rFont val="Arial"/>
        <family val="2"/>
      </rPr>
      <t>]</t>
    </r>
    <r>
      <rPr>
        <b/>
        <i/>
        <sz val="10"/>
        <rFont val="Arial"/>
        <family val="2"/>
      </rPr>
      <t>+V</t>
    </r>
    <r>
      <rPr>
        <b/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</si>
  <si>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r>
      <t>dm</t>
    </r>
    <r>
      <rPr>
        <vertAlign val="superscript"/>
        <sz val="10"/>
        <rFont val="Arial"/>
        <family val="2"/>
      </rPr>
      <t>3</t>
    </r>
  </si>
  <si>
    <t>Frazioni all'equilibrio delle quattro forme dell'acido</t>
  </si>
  <si>
    <r>
      <t>H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>A</t>
    </r>
  </si>
  <si>
    <r>
      <t>H</t>
    </r>
    <r>
      <rPr>
        <b/>
        <vertAlign val="subscript"/>
        <sz val="10"/>
        <color indexed="52"/>
        <rFont val="Arial"/>
        <family val="2"/>
      </rPr>
      <t>2</t>
    </r>
    <r>
      <rPr>
        <b/>
        <sz val="10"/>
        <color indexed="52"/>
        <rFont val="Arial"/>
        <family val="2"/>
      </rPr>
      <t>A</t>
    </r>
    <r>
      <rPr>
        <b/>
        <vertAlign val="superscript"/>
        <sz val="10"/>
        <color indexed="52"/>
        <rFont val="Arial"/>
        <family val="2"/>
      </rPr>
      <t>-</t>
    </r>
  </si>
  <si>
    <r>
      <t>HA</t>
    </r>
    <r>
      <rPr>
        <b/>
        <vertAlign val="superscript"/>
        <sz val="10"/>
        <color indexed="50"/>
        <rFont val="Arial"/>
        <family val="2"/>
      </rPr>
      <t>=</t>
    </r>
  </si>
  <si>
    <r>
      <t>A</t>
    </r>
    <r>
      <rPr>
        <b/>
        <vertAlign val="superscript"/>
        <sz val="10"/>
        <color indexed="12"/>
        <rFont val="Arial"/>
        <family val="2"/>
      </rPr>
      <t>3-</t>
    </r>
  </si>
  <si>
    <r>
      <t>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/cm</t>
    </r>
    <r>
      <rPr>
        <b/>
        <vertAlign val="superscript"/>
        <sz val="10"/>
        <rFont val="Arial"/>
        <family val="2"/>
      </rPr>
      <t>3</t>
    </r>
  </si>
  <si>
    <r>
      <t>p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a1</t>
    </r>
  </si>
  <si>
    <r>
      <t>K</t>
    </r>
    <r>
      <rPr>
        <vertAlign val="subscript"/>
        <sz val="10"/>
        <rFont val="Arial"/>
        <family val="2"/>
      </rPr>
      <t>a1</t>
    </r>
  </si>
  <si>
    <r>
      <t>p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a2</t>
    </r>
  </si>
  <si>
    <r>
      <t>K</t>
    </r>
    <r>
      <rPr>
        <vertAlign val="subscript"/>
        <sz val="10"/>
        <rFont val="Arial"/>
        <family val="2"/>
      </rPr>
      <t>a2</t>
    </r>
  </si>
  <si>
    <r>
      <t>p</t>
    </r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a3</t>
    </r>
  </si>
  <si>
    <r>
      <t>K</t>
    </r>
    <r>
      <rPr>
        <vertAlign val="subscript"/>
        <sz val="10"/>
        <rFont val="Arial"/>
        <family val="2"/>
      </rPr>
      <t>a3</t>
    </r>
  </si>
  <si>
    <r>
      <t>c</t>
    </r>
    <r>
      <rPr>
        <vertAlign val="subscript"/>
        <sz val="10"/>
        <rFont val="Arial"/>
        <family val="2"/>
      </rPr>
      <t>0</t>
    </r>
  </si>
  <si>
    <r>
      <t>V</t>
    </r>
    <r>
      <rPr>
        <vertAlign val="subscript"/>
        <sz val="10"/>
        <rFont val="Arial"/>
        <family val="2"/>
      </rPr>
      <t>0</t>
    </r>
  </si>
  <si>
    <r>
      <t>c</t>
    </r>
    <r>
      <rPr>
        <vertAlign val="subscript"/>
        <sz val="10"/>
        <rFont val="Arial"/>
        <family val="2"/>
      </rPr>
      <t>T</t>
    </r>
  </si>
  <si>
    <r>
      <t xml:space="preserve">Titolazione di </t>
    </r>
    <r>
      <rPr>
        <b/>
        <sz val="10"/>
        <color indexed="10"/>
        <rFont val="Arial"/>
        <family val="2"/>
      </rPr>
      <t>acido debole triprotico H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 xml:space="preserve"> con base forte </t>
    </r>
    <r>
      <rPr>
        <b/>
        <sz val="10"/>
        <color indexed="12"/>
        <rFont val="Arial"/>
        <family val="2"/>
      </rPr>
      <t>DOH</t>
    </r>
    <r>
      <rPr>
        <b/>
        <sz val="10"/>
        <rFont val="Arial"/>
        <family val="2"/>
      </rPr>
      <t xml:space="preserve"> (Approccio di De Levie)</t>
    </r>
  </si>
  <si>
    <r>
      <t xml:space="preserve">Titolazione di </t>
    </r>
    <r>
      <rPr>
        <b/>
        <sz val="10"/>
        <color indexed="10"/>
        <rFont val="Arial"/>
        <family val="2"/>
      </rPr>
      <t>acido debole biprotico 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 xml:space="preserve"> con base forte </t>
    </r>
    <r>
      <rPr>
        <b/>
        <sz val="10"/>
        <color indexed="12"/>
        <rFont val="Arial"/>
        <family val="2"/>
      </rPr>
      <t>DOH</t>
    </r>
    <r>
      <rPr>
        <b/>
        <sz val="10"/>
        <rFont val="Arial"/>
        <family val="2"/>
      </rPr>
      <t xml:space="preserve"> (Approccio di De Levie)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</si>
  <si>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A</t>
    </r>
  </si>
  <si>
    <r>
      <t>A</t>
    </r>
    <r>
      <rPr>
        <b/>
        <vertAlign val="superscript"/>
        <sz val="10"/>
        <color indexed="12"/>
        <rFont val="Arial"/>
        <family val="2"/>
      </rPr>
      <t>=</t>
    </r>
  </si>
  <si>
    <t>Frazioni all'equilibrio delle tre forme dell'acido</t>
  </si>
  <si>
    <r>
      <t xml:space="preserve">Titolazione di </t>
    </r>
    <r>
      <rPr>
        <b/>
        <sz val="10"/>
        <color indexed="10"/>
        <rFont val="Arial"/>
        <family val="2"/>
      </rPr>
      <t>acido debole monoprotico H</t>
    </r>
    <r>
      <rPr>
        <b/>
        <sz val="10"/>
        <color indexed="10"/>
        <rFont val="Arial"/>
        <family val="2"/>
      </rPr>
      <t>A</t>
    </r>
    <r>
      <rPr>
        <b/>
        <sz val="10"/>
        <rFont val="Arial"/>
        <family val="2"/>
      </rPr>
      <t xml:space="preserve"> con base forte </t>
    </r>
    <r>
      <rPr>
        <b/>
        <sz val="10"/>
        <color indexed="12"/>
        <rFont val="Arial"/>
        <family val="2"/>
      </rPr>
      <t>DOH</t>
    </r>
    <r>
      <rPr>
        <b/>
        <sz val="10"/>
        <rFont val="Arial"/>
        <family val="2"/>
      </rPr>
      <t xml:space="preserve"> (Approccio di De Levie)</t>
    </r>
  </si>
  <si>
    <r>
      <t>HA</t>
    </r>
    <r>
      <rPr>
        <b/>
        <vertAlign val="superscript"/>
        <sz val="10"/>
        <color indexed="50"/>
        <rFont val="Arial"/>
        <family val="2"/>
      </rPr>
      <t>-</t>
    </r>
  </si>
  <si>
    <r>
      <t>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/dm</t>
    </r>
    <r>
      <rPr>
        <b/>
        <vertAlign val="superscript"/>
        <sz val="10"/>
        <rFont val="Arial"/>
        <family val="2"/>
      </rPr>
      <t>3</t>
    </r>
  </si>
  <si>
    <t>Frazioni all'equilibrio delle due forme dell'acido</t>
  </si>
  <si>
    <r>
      <t xml:space="preserve">Titolazione di </t>
    </r>
    <r>
      <rPr>
        <b/>
        <sz val="10"/>
        <color indexed="10"/>
        <rFont val="Arial"/>
        <family val="2"/>
      </rPr>
      <t>acido forte monoprotico HC</t>
    </r>
    <r>
      <rPr>
        <b/>
        <sz val="10"/>
        <rFont val="Arial"/>
        <family val="2"/>
      </rPr>
      <t xml:space="preserve"> con base forte </t>
    </r>
    <r>
      <rPr>
        <b/>
        <sz val="10"/>
        <color indexed="12"/>
        <rFont val="Arial"/>
        <family val="2"/>
      </rPr>
      <t>DOH</t>
    </r>
    <r>
      <rPr>
        <b/>
        <sz val="10"/>
        <rFont val="Arial"/>
        <family val="2"/>
      </rPr>
      <t xml:space="preserve"> (Approccio di De Levie)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</si>
</sst>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E+00"/>
    <numFmt numFmtId="177" formatCode="0.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E+00"/>
    <numFmt numFmtId="187" formatCode="0.000E+00"/>
    <numFmt numFmtId="188" formatCode="0.00000E+00"/>
    <numFmt numFmtId="189" formatCode="0.0000E+00"/>
  </numFmts>
  <fonts count="65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i/>
      <sz val="11.75"/>
      <name val="Arial"/>
      <family val="2"/>
    </font>
    <font>
      <b/>
      <vertAlign val="subscript"/>
      <sz val="11.75"/>
      <name val="Arial"/>
      <family val="2"/>
    </font>
    <font>
      <b/>
      <sz val="11.75"/>
      <name val="Arial"/>
      <family val="2"/>
    </font>
    <font>
      <b/>
      <vertAlign val="superscript"/>
      <sz val="11.75"/>
      <name val="Arial"/>
      <family val="2"/>
    </font>
    <font>
      <i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indexed="10"/>
      <name val="Arial"/>
      <family val="0"/>
    </font>
    <font>
      <i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10"/>
      <color indexed="1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sz val="5.5"/>
      <name val="Arial"/>
      <family val="0"/>
    </font>
    <font>
      <sz val="10"/>
      <name val="Arial Narrow"/>
      <family val="2"/>
    </font>
    <font>
      <sz val="9.75"/>
      <name val="Arial"/>
      <family val="2"/>
    </font>
    <font>
      <b/>
      <sz val="11.5"/>
      <name val="Arial"/>
      <family val="2"/>
    </font>
    <font>
      <b/>
      <vertAlign val="subscript"/>
      <sz val="11.5"/>
      <name val="Arial"/>
      <family val="2"/>
    </font>
    <font>
      <b/>
      <vertAlign val="superscript"/>
      <sz val="11.5"/>
      <name val="Arial"/>
      <family val="2"/>
    </font>
    <font>
      <sz val="10"/>
      <name val="Symbol"/>
      <family val="1"/>
    </font>
    <font>
      <b/>
      <sz val="10"/>
      <name val="Arial Narrow"/>
      <family val="2"/>
    </font>
    <font>
      <b/>
      <i/>
      <sz val="11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vertAlign val="subscript"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10"/>
      <name val="Arial Narrow"/>
      <family val="2"/>
    </font>
    <font>
      <b/>
      <sz val="14"/>
      <color indexed="10"/>
      <name val="Symbol"/>
      <family val="1"/>
    </font>
    <font>
      <b/>
      <vertAlign val="subscript"/>
      <sz val="14"/>
      <color indexed="10"/>
      <name val="Arial Narrow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vertAlign val="subscript"/>
      <sz val="10"/>
      <color indexed="14"/>
      <name val="Arial"/>
      <family val="2"/>
    </font>
    <font>
      <vertAlign val="superscript"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2"/>
      <name val="Arial"/>
      <family val="2"/>
    </font>
    <font>
      <b/>
      <vertAlign val="subscript"/>
      <sz val="10"/>
      <color indexed="52"/>
      <name val="Arial"/>
      <family val="2"/>
    </font>
    <font>
      <b/>
      <vertAlign val="superscript"/>
      <sz val="10"/>
      <color indexed="52"/>
      <name val="Arial"/>
      <family val="2"/>
    </font>
    <font>
      <b/>
      <sz val="10"/>
      <color indexed="50"/>
      <name val="Arial"/>
      <family val="2"/>
    </font>
    <font>
      <b/>
      <vertAlign val="superscript"/>
      <sz val="10"/>
      <color indexed="50"/>
      <name val="Arial"/>
      <family val="2"/>
    </font>
    <font>
      <b/>
      <vertAlign val="superscript"/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9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2" fillId="0" borderId="1" xfId="0" applyFont="1" applyBorder="1" applyAlignment="1">
      <alignment/>
    </xf>
    <xf numFmtId="11" fontId="0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11" fontId="0" fillId="0" borderId="8" xfId="0" applyNumberFormat="1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3" borderId="11" xfId="0" applyFont="1" applyFill="1" applyBorder="1" applyAlignment="1">
      <alignment horizontal="center" wrapText="1"/>
    </xf>
    <xf numFmtId="170" fontId="0" fillId="0" borderId="4" xfId="0" applyNumberFormat="1" applyFill="1" applyBorder="1" applyAlignment="1">
      <alignment horizontal="center"/>
    </xf>
    <xf numFmtId="170" fontId="0" fillId="0" borderId="6" xfId="0" applyNumberFormat="1" applyFill="1" applyBorder="1" applyAlignment="1">
      <alignment horizontal="center"/>
    </xf>
    <xf numFmtId="170" fontId="0" fillId="0" borderId="5" xfId="0" applyNumberForma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11" fontId="0" fillId="4" borderId="4" xfId="0" applyNumberFormat="1" applyFill="1" applyBorder="1" applyAlignment="1">
      <alignment horizontal="center"/>
    </xf>
    <xf numFmtId="11" fontId="0" fillId="0" borderId="5" xfId="0" applyNumberFormat="1" applyFill="1" applyBorder="1" applyAlignment="1">
      <alignment horizontal="center"/>
    </xf>
    <xf numFmtId="11" fontId="0" fillId="0" borderId="8" xfId="0" applyNumberForma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1" fontId="0" fillId="3" borderId="7" xfId="0" applyNumberForma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1" fontId="6" fillId="0" borderId="4" xfId="0" applyNumberFormat="1" applyFont="1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170" fontId="30" fillId="0" borderId="5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170" fontId="30" fillId="0" borderId="10" xfId="0" applyNumberFormat="1" applyFont="1" applyFill="1" applyBorder="1" applyAlignment="1">
      <alignment horizontal="center"/>
    </xf>
    <xf numFmtId="171" fontId="30" fillId="0" borderId="0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70" fontId="30" fillId="0" borderId="4" xfId="0" applyNumberFormat="1" applyFont="1" applyFill="1" applyBorder="1" applyAlignment="1">
      <alignment horizontal="center"/>
    </xf>
    <xf numFmtId="177" fontId="30" fillId="3" borderId="5" xfId="0" applyNumberFormat="1" applyFont="1" applyFill="1" applyBorder="1" applyAlignment="1">
      <alignment horizontal="center"/>
    </xf>
    <xf numFmtId="172" fontId="30" fillId="3" borderId="12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71" fontId="30" fillId="0" borderId="7" xfId="0" applyNumberFormat="1" applyFont="1" applyFill="1" applyBorder="1" applyAlignment="1">
      <alignment horizontal="center"/>
    </xf>
    <xf numFmtId="170" fontId="30" fillId="0" borderId="7" xfId="0" applyNumberFormat="1" applyFont="1" applyFill="1" applyBorder="1" applyAlignment="1">
      <alignment horizontal="center"/>
    </xf>
    <xf numFmtId="170" fontId="30" fillId="0" borderId="6" xfId="0" applyNumberFormat="1" applyFont="1" applyFill="1" applyBorder="1" applyAlignment="1">
      <alignment horizontal="center"/>
    </xf>
    <xf numFmtId="177" fontId="30" fillId="3" borderId="8" xfId="0" applyNumberFormat="1" applyFont="1" applyFill="1" applyBorder="1" applyAlignment="1">
      <alignment horizontal="center"/>
    </xf>
    <xf numFmtId="172" fontId="30" fillId="3" borderId="14" xfId="0" applyNumberFormat="1" applyFont="1" applyFill="1" applyBorder="1" applyAlignment="1">
      <alignment horizontal="center"/>
    </xf>
    <xf numFmtId="11" fontId="30" fillId="0" borderId="0" xfId="0" applyNumberFormat="1" applyFont="1" applyFill="1" applyBorder="1" applyAlignment="1">
      <alignment horizontal="center"/>
    </xf>
    <xf numFmtId="11" fontId="30" fillId="0" borderId="10" xfId="0" applyNumberFormat="1" applyFont="1" applyFill="1" applyBorder="1" applyAlignment="1">
      <alignment horizontal="center"/>
    </xf>
    <xf numFmtId="11" fontId="36" fillId="0" borderId="10" xfId="0" applyNumberFormat="1" applyFont="1" applyFill="1" applyBorder="1" applyAlignment="1">
      <alignment horizontal="center"/>
    </xf>
    <xf numFmtId="11" fontId="30" fillId="0" borderId="7" xfId="0" applyNumberFormat="1" applyFont="1" applyFill="1" applyBorder="1" applyAlignment="1">
      <alignment horizontal="center"/>
    </xf>
    <xf numFmtId="2" fontId="30" fillId="6" borderId="12" xfId="0" applyNumberFormat="1" applyFont="1" applyFill="1" applyBorder="1" applyAlignment="1">
      <alignment horizontal="center"/>
    </xf>
    <xf numFmtId="2" fontId="36" fillId="6" borderId="13" xfId="0" applyNumberFormat="1" applyFont="1" applyFill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0" fillId="6" borderId="1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11" fontId="6" fillId="0" borderId="9" xfId="0" applyNumberFormat="1" applyFont="1" applyFill="1" applyBorder="1" applyAlignment="1">
      <alignment horizontal="center" vertical="center" wrapText="1"/>
    </xf>
    <xf numFmtId="11" fontId="6" fillId="0" borderId="11" xfId="0" applyNumberFormat="1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6" fillId="0" borderId="13" xfId="0" applyFont="1" applyFill="1" applyBorder="1" applyAlignment="1">
      <alignment horizontal="center" vertical="center"/>
    </xf>
    <xf numFmtId="171" fontId="36" fillId="0" borderId="10" xfId="0" applyNumberFormat="1" applyFont="1" applyFill="1" applyBorder="1" applyAlignment="1">
      <alignment horizontal="center" vertical="center"/>
    </xf>
    <xf numFmtId="170" fontId="36" fillId="0" borderId="10" xfId="0" applyNumberFormat="1" applyFont="1" applyFill="1" applyBorder="1" applyAlignment="1">
      <alignment horizontal="center" vertical="center"/>
    </xf>
    <xf numFmtId="11" fontId="36" fillId="0" borderId="10" xfId="0" applyNumberFormat="1" applyFont="1" applyFill="1" applyBorder="1" applyAlignment="1">
      <alignment horizontal="center" vertical="center"/>
    </xf>
    <xf numFmtId="2" fontId="36" fillId="2" borderId="13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30" fillId="2" borderId="0" xfId="0" applyNumberFormat="1" applyFont="1" applyFill="1" applyBorder="1" applyAlignment="1">
      <alignment horizontal="center"/>
    </xf>
    <xf numFmtId="171" fontId="30" fillId="2" borderId="7" xfId="0" applyNumberFormat="1" applyFont="1" applyFill="1" applyBorder="1" applyAlignment="1">
      <alignment horizontal="center"/>
    </xf>
    <xf numFmtId="171" fontId="30" fillId="7" borderId="4" xfId="0" applyNumberFormat="1" applyFont="1" applyFill="1" applyBorder="1" applyAlignment="1">
      <alignment horizontal="center"/>
    </xf>
    <xf numFmtId="11" fontId="0" fillId="0" borderId="3" xfId="0" applyNumberFormat="1" applyBorder="1" applyAlignment="1">
      <alignment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171" fontId="30" fillId="8" borderId="0" xfId="0" applyNumberFormat="1" applyFont="1" applyFill="1" applyBorder="1" applyAlignment="1">
      <alignment horizontal="center"/>
    </xf>
    <xf numFmtId="171" fontId="36" fillId="8" borderId="10" xfId="0" applyNumberFormat="1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71" fontId="30" fillId="0" borderId="10" xfId="0" applyNumberFormat="1" applyFont="1" applyFill="1" applyBorder="1" applyAlignment="1">
      <alignment horizontal="center"/>
    </xf>
    <xf numFmtId="170" fontId="30" fillId="0" borderId="9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 vertical="center"/>
    </xf>
    <xf numFmtId="2" fontId="36" fillId="8" borderId="13" xfId="0" applyNumberFormat="1" applyFont="1" applyFill="1" applyBorder="1" applyAlignment="1">
      <alignment horizontal="center" vertical="center"/>
    </xf>
    <xf numFmtId="2" fontId="30" fillId="9" borderId="12" xfId="0" applyNumberFormat="1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 vertical="center" wrapText="1"/>
    </xf>
    <xf numFmtId="170" fontId="30" fillId="0" borderId="12" xfId="0" applyNumberFormat="1" applyFont="1" applyFill="1" applyBorder="1" applyAlignment="1">
      <alignment horizontal="center"/>
    </xf>
    <xf numFmtId="170" fontId="30" fillId="0" borderId="13" xfId="0" applyNumberFormat="1" applyFont="1" applyFill="1" applyBorder="1" applyAlignment="1">
      <alignment horizontal="center"/>
    </xf>
    <xf numFmtId="171" fontId="36" fillId="0" borderId="13" xfId="0" applyNumberFormat="1" applyFont="1" applyFill="1" applyBorder="1" applyAlignment="1">
      <alignment horizontal="center" vertical="center"/>
    </xf>
    <xf numFmtId="171" fontId="30" fillId="0" borderId="12" xfId="0" applyNumberFormat="1" applyFont="1" applyFill="1" applyBorder="1" applyAlignment="1">
      <alignment horizontal="center"/>
    </xf>
    <xf numFmtId="171" fontId="30" fillId="0" borderId="13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71" fontId="30" fillId="2" borderId="5" xfId="0" applyNumberFormat="1" applyFont="1" applyFill="1" applyBorder="1" applyAlignment="1">
      <alignment horizontal="center"/>
    </xf>
    <xf numFmtId="171" fontId="30" fillId="2" borderId="8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171" fontId="36" fillId="2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2" fontId="36" fillId="7" borderId="13" xfId="0" applyNumberFormat="1" applyFont="1" applyFill="1" applyBorder="1" applyAlignment="1">
      <alignment horizontal="center"/>
    </xf>
    <xf numFmtId="0" fontId="30" fillId="7" borderId="11" xfId="0" applyFont="1" applyFill="1" applyBorder="1" applyAlignment="1">
      <alignment horizontal="center"/>
    </xf>
    <xf numFmtId="2" fontId="30" fillId="6" borderId="15" xfId="0" applyNumberFormat="1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0" fontId="30" fillId="6" borderId="5" xfId="0" applyFont="1" applyFill="1" applyBorder="1" applyAlignment="1" quotePrefix="1">
      <alignment horizontal="center"/>
    </xf>
    <xf numFmtId="0" fontId="30" fillId="6" borderId="5" xfId="0" applyFont="1" applyFill="1" applyBorder="1" applyAlignment="1">
      <alignment horizontal="center"/>
    </xf>
    <xf numFmtId="2" fontId="30" fillId="6" borderId="14" xfId="0" applyNumberFormat="1" applyFont="1" applyFill="1" applyBorder="1" applyAlignment="1">
      <alignment horizontal="center"/>
    </xf>
    <xf numFmtId="0" fontId="30" fillId="6" borderId="8" xfId="0" applyFont="1" applyFill="1" applyBorder="1" applyAlignment="1">
      <alignment horizontal="center"/>
    </xf>
    <xf numFmtId="170" fontId="30" fillId="0" borderId="1" xfId="0" applyNumberFormat="1" applyFont="1" applyFill="1" applyBorder="1" applyAlignment="1">
      <alignment horizontal="center"/>
    </xf>
    <xf numFmtId="171" fontId="30" fillId="0" borderId="2" xfId="0" applyNumberFormat="1" applyFont="1" applyFill="1" applyBorder="1" applyAlignment="1">
      <alignment horizontal="center"/>
    </xf>
    <xf numFmtId="171" fontId="30" fillId="2" borderId="2" xfId="0" applyNumberFormat="1" applyFont="1" applyFill="1" applyBorder="1" applyAlignment="1">
      <alignment horizontal="center"/>
    </xf>
    <xf numFmtId="171" fontId="30" fillId="0" borderId="1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11" fontId="36" fillId="0" borderId="2" xfId="0" applyNumberFormat="1" applyFont="1" applyFill="1" applyBorder="1" applyAlignment="1">
      <alignment horizontal="center" vertical="center"/>
    </xf>
    <xf numFmtId="11" fontId="30" fillId="0" borderId="3" xfId="0" applyNumberFormat="1" applyFont="1" applyFill="1" applyBorder="1" applyAlignment="1">
      <alignment horizontal="center"/>
    </xf>
    <xf numFmtId="11" fontId="30" fillId="0" borderId="5" xfId="0" applyNumberFormat="1" applyFont="1" applyFill="1" applyBorder="1" applyAlignment="1">
      <alignment horizontal="center"/>
    </xf>
    <xf numFmtId="11" fontId="30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0" fillId="0" borderId="15" xfId="0" applyNumberFormat="1" applyFont="1" applyFill="1" applyBorder="1" applyAlignment="1">
      <alignment horizontal="center" vertical="center"/>
    </xf>
    <xf numFmtId="171" fontId="30" fillId="9" borderId="1" xfId="0" applyNumberFormat="1" applyFont="1" applyFill="1" applyBorder="1" applyAlignment="1">
      <alignment horizontal="center"/>
    </xf>
    <xf numFmtId="171" fontId="30" fillId="9" borderId="4" xfId="0" applyNumberFormat="1" applyFont="1" applyFill="1" applyBorder="1" applyAlignment="1">
      <alignment horizontal="center"/>
    </xf>
    <xf numFmtId="171" fontId="30" fillId="9" borderId="6" xfId="0" applyNumberFormat="1" applyFont="1" applyFill="1" applyBorder="1" applyAlignment="1">
      <alignment horizontal="center"/>
    </xf>
    <xf numFmtId="11" fontId="30" fillId="0" borderId="1" xfId="0" applyNumberFormat="1" applyFont="1" applyFill="1" applyBorder="1" applyAlignment="1">
      <alignment horizontal="center"/>
    </xf>
    <xf numFmtId="11" fontId="30" fillId="0" borderId="4" xfId="0" applyNumberFormat="1" applyFont="1" applyFill="1" applyBorder="1" applyAlignment="1">
      <alignment horizontal="center"/>
    </xf>
    <xf numFmtId="11" fontId="30" fillId="0" borderId="6" xfId="0" applyNumberFormat="1" applyFont="1" applyFill="1" applyBorder="1" applyAlignment="1">
      <alignment horizontal="center"/>
    </xf>
    <xf numFmtId="11" fontId="30" fillId="0" borderId="10" xfId="0" applyNumberFormat="1" applyFont="1" applyFill="1" applyBorder="1" applyAlignment="1">
      <alignment horizontal="center" vertical="center"/>
    </xf>
    <xf numFmtId="171" fontId="36" fillId="7" borderId="9" xfId="0" applyNumberFormat="1" applyFont="1" applyFill="1" applyBorder="1" applyAlignment="1">
      <alignment horizontal="center"/>
    </xf>
    <xf numFmtId="171" fontId="36" fillId="8" borderId="10" xfId="0" applyNumberFormat="1" applyFont="1" applyFill="1" applyBorder="1" applyAlignment="1">
      <alignment horizontal="center"/>
    </xf>
    <xf numFmtId="171" fontId="36" fillId="2" borderId="10" xfId="0" applyNumberFormat="1" applyFont="1" applyFill="1" applyBorder="1" applyAlignment="1">
      <alignment horizontal="center"/>
    </xf>
    <xf numFmtId="171" fontId="36" fillId="2" borderId="2" xfId="0" applyNumberFormat="1" applyFont="1" applyFill="1" applyBorder="1" applyAlignment="1">
      <alignment horizontal="center" vertical="center"/>
    </xf>
    <xf numFmtId="171" fontId="36" fillId="7" borderId="4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11" fontId="30" fillId="0" borderId="2" xfId="0" applyNumberFormat="1" applyFont="1" applyFill="1" applyBorder="1" applyAlignment="1">
      <alignment horizontal="center" vertical="center"/>
    </xf>
    <xf numFmtId="2" fontId="30" fillId="9" borderId="15" xfId="0" applyNumberFormat="1" applyFont="1" applyFill="1" applyBorder="1" applyAlignment="1">
      <alignment horizontal="center"/>
    </xf>
    <xf numFmtId="0" fontId="30" fillId="9" borderId="3" xfId="0" applyFont="1" applyFill="1" applyBorder="1" applyAlignment="1">
      <alignment horizontal="center"/>
    </xf>
    <xf numFmtId="0" fontId="30" fillId="9" borderId="5" xfId="0" applyFont="1" applyFill="1" applyBorder="1" applyAlignment="1">
      <alignment horizontal="center"/>
    </xf>
    <xf numFmtId="2" fontId="30" fillId="9" borderId="14" xfId="0" applyNumberFormat="1" applyFont="1" applyFill="1" applyBorder="1" applyAlignment="1">
      <alignment horizontal="center"/>
    </xf>
    <xf numFmtId="0" fontId="30" fillId="9" borderId="8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0" fillId="3" borderId="14" xfId="0" applyFont="1" applyFill="1" applyBorder="1" applyAlignment="1">
      <alignment horizontal="center"/>
    </xf>
    <xf numFmtId="0" fontId="46" fillId="0" borderId="1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11" fontId="0" fillId="0" borderId="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57" fillId="0" borderId="1" xfId="0" applyFont="1" applyBorder="1" applyAlignment="1">
      <alignment horizontal="left"/>
    </xf>
    <xf numFmtId="0" fontId="47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170" fontId="30" fillId="0" borderId="16" xfId="0" applyNumberFormat="1" applyFont="1" applyFill="1" applyBorder="1" applyAlignment="1">
      <alignment horizontal="center"/>
    </xf>
    <xf numFmtId="170" fontId="30" fillId="0" borderId="17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6" fillId="0" borderId="18" xfId="0" applyFont="1" applyFill="1" applyBorder="1" applyAlignment="1">
      <alignment horizontal="center"/>
    </xf>
    <xf numFmtId="171" fontId="36" fillId="2" borderId="17" xfId="0" applyNumberFormat="1" applyFont="1" applyFill="1" applyBorder="1" applyAlignment="1">
      <alignment horizontal="center"/>
    </xf>
    <xf numFmtId="11" fontId="30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1" fontId="0" fillId="0" borderId="4" xfId="0" applyNumberFormat="1" applyBorder="1" applyAlignment="1">
      <alignment/>
    </xf>
    <xf numFmtId="11" fontId="0" fillId="0" borderId="0" xfId="0" applyNumberFormat="1" applyBorder="1" applyAlignment="1">
      <alignment/>
    </xf>
    <xf numFmtId="11" fontId="0" fillId="0" borderId="5" xfId="0" applyNumberFormat="1" applyBorder="1" applyAlignment="1">
      <alignment/>
    </xf>
    <xf numFmtId="11" fontId="0" fillId="0" borderId="6" xfId="0" applyNumberFormat="1" applyBorder="1" applyAlignment="1">
      <alignment/>
    </xf>
    <xf numFmtId="11" fontId="0" fillId="0" borderId="7" xfId="0" applyNumberFormat="1" applyBorder="1" applyAlignment="1">
      <alignment/>
    </xf>
    <xf numFmtId="11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62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10" borderId="13" xfId="0" applyFill="1" applyBorder="1" applyAlignment="1">
      <alignment/>
    </xf>
    <xf numFmtId="0" fontId="5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6" fillId="0" borderId="13" xfId="0" applyFont="1" applyBorder="1" applyAlignment="1">
      <alignment/>
    </xf>
    <xf numFmtId="1" fontId="36" fillId="0" borderId="13" xfId="0" applyNumberFormat="1" applyFont="1" applyFill="1" applyBorder="1" applyAlignment="1">
      <alignment horizontal="center"/>
    </xf>
    <xf numFmtId="11" fontId="0" fillId="2" borderId="8" xfId="0" applyNumberFormat="1" applyFont="1" applyFill="1" applyBorder="1" applyAlignment="1">
      <alignment/>
    </xf>
    <xf numFmtId="2" fontId="30" fillId="8" borderId="12" xfId="0" applyNumberFormat="1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 wrapText="1"/>
    </xf>
    <xf numFmtId="171" fontId="36" fillId="7" borderId="19" xfId="0" applyNumberFormat="1" applyFont="1" applyFill="1" applyBorder="1" applyAlignment="1">
      <alignment horizontal="center"/>
    </xf>
    <xf numFmtId="2" fontId="36" fillId="7" borderId="12" xfId="0" applyNumberFormat="1" applyFont="1" applyFill="1" applyBorder="1" applyAlignment="1">
      <alignment horizontal="center"/>
    </xf>
    <xf numFmtId="0" fontId="30" fillId="7" borderId="15" xfId="0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30" fillId="8" borderId="12" xfId="0" applyFont="1" applyFill="1" applyBorder="1" applyAlignment="1" quotePrefix="1">
      <alignment horizontal="center"/>
    </xf>
    <xf numFmtId="0" fontId="30" fillId="8" borderId="12" xfId="0" applyFont="1" applyFill="1" applyBorder="1" applyAlignment="1">
      <alignment/>
    </xf>
    <xf numFmtId="2" fontId="36" fillId="8" borderId="19" xfId="0" applyNumberFormat="1" applyFont="1" applyFill="1" applyBorder="1" applyAlignment="1">
      <alignment horizontal="center"/>
    </xf>
    <xf numFmtId="0" fontId="36" fillId="8" borderId="20" xfId="0" applyFont="1" applyFill="1" applyBorder="1" applyAlignment="1">
      <alignment horizontal="center"/>
    </xf>
    <xf numFmtId="2" fontId="30" fillId="8" borderId="4" xfId="0" applyNumberFormat="1" applyFont="1" applyFill="1" applyBorder="1" applyAlignment="1">
      <alignment horizontal="center"/>
    </xf>
    <xf numFmtId="0" fontId="30" fillId="8" borderId="21" xfId="0" applyFont="1" applyFill="1" applyBorder="1" applyAlignment="1">
      <alignment horizontal="center"/>
    </xf>
    <xf numFmtId="2" fontId="30" fillId="11" borderId="15" xfId="0" applyNumberFormat="1" applyFont="1" applyFill="1" applyBorder="1" applyAlignment="1">
      <alignment horizontal="center"/>
    </xf>
    <xf numFmtId="0" fontId="30" fillId="11" borderId="3" xfId="0" applyFont="1" applyFill="1" applyBorder="1" applyAlignment="1">
      <alignment horizontal="center"/>
    </xf>
    <xf numFmtId="2" fontId="30" fillId="11" borderId="12" xfId="0" applyNumberFormat="1" applyFont="1" applyFill="1" applyBorder="1" applyAlignment="1">
      <alignment horizontal="center"/>
    </xf>
    <xf numFmtId="0" fontId="30" fillId="11" borderId="5" xfId="0" applyFont="1" applyFill="1" applyBorder="1" applyAlignment="1" quotePrefix="1">
      <alignment horizontal="center"/>
    </xf>
    <xf numFmtId="0" fontId="30" fillId="11" borderId="5" xfId="0" applyFont="1" applyFill="1" applyBorder="1" applyAlignment="1">
      <alignment horizontal="center"/>
    </xf>
    <xf numFmtId="2" fontId="36" fillId="11" borderId="9" xfId="0" applyNumberFormat="1" applyFont="1" applyFill="1" applyBorder="1" applyAlignment="1">
      <alignment horizontal="center"/>
    </xf>
    <xf numFmtId="0" fontId="36" fillId="11" borderId="15" xfId="0" applyFont="1" applyFill="1" applyBorder="1" applyAlignment="1">
      <alignment horizontal="center"/>
    </xf>
    <xf numFmtId="2" fontId="30" fillId="11" borderId="4" xfId="0" applyNumberFormat="1" applyFont="1" applyFill="1" applyBorder="1" applyAlignment="1">
      <alignment horizontal="center"/>
    </xf>
    <xf numFmtId="0" fontId="30" fillId="11" borderId="14" xfId="0" applyFont="1" applyFill="1" applyBorder="1" applyAlignment="1">
      <alignment horizontal="center"/>
    </xf>
    <xf numFmtId="0" fontId="30" fillId="11" borderId="12" xfId="0" applyFont="1" applyFill="1" applyBorder="1" applyAlignment="1">
      <alignment horizontal="center"/>
    </xf>
    <xf numFmtId="2" fontId="30" fillId="11" borderId="6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45"/>
          <c:w val="0.898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'HC Forte con DOH forte'!$H$11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 Forte con DOH forte'!$A$12:$A$36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'HC Forte con DOH forte'!$H$12:$H$36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'HC Forte con DOH forte'!$A$12:$A$26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'HC Forte con DOH forte'!$H$12:$H$26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'HC Forte con DOH forte'!$A$27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'HC Forte con DOH forte'!$H$27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'HC Forte con DOH forte'!$A$28:$A$36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'HC Forte con DOH forte'!$H$28:$H$36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39137722"/>
        <c:axId val="16695179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 Forte con DOH forte'!$K$14:$K$36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'HC Forte con DOH forte'!$L$14:$L$36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16038884"/>
        <c:axId val="10132229"/>
      </c:scatterChart>
      <c:valAx>
        <c:axId val="39137722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15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695179"/>
        <c:crosses val="autoZero"/>
        <c:crossBetween val="midCat"/>
        <c:dispUnits/>
        <c:majorUnit val="5"/>
      </c:valAx>
      <c:valAx>
        <c:axId val="1669517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137722"/>
        <c:crosses val="autoZero"/>
        <c:crossBetween val="midCat"/>
        <c:dispUnits/>
        <c:majorUnit val="1"/>
      </c:valAx>
      <c:valAx>
        <c:axId val="16038884"/>
        <c:scaling>
          <c:orientation val="minMax"/>
        </c:scaling>
        <c:axPos val="b"/>
        <c:delete val="1"/>
        <c:majorTickMark val="in"/>
        <c:minorTickMark val="none"/>
        <c:tickLblPos val="nextTo"/>
        <c:crossAx val="10132229"/>
        <c:crosses val="max"/>
        <c:crossBetween val="midCat"/>
        <c:dispUnits/>
      </c:valAx>
      <c:valAx>
        <c:axId val="1013222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6038884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6"/>
          <c:w val="0.8447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 Levie HA'!$D$8</c:f>
              <c:strCache>
                <c:ptCount val="1"/>
                <c:pt idx="0">
                  <c:v>a1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HA'!$D$9:$D$79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'De Levie HA'!$E$8</c:f>
              <c:strCache>
                <c:ptCount val="1"/>
                <c:pt idx="0">
                  <c:v>a0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HA'!$E$9:$E$79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'De Levie HA'!#REF!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'De Levie HA'!#REF!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6638566"/>
        <c:axId val="15529367"/>
      </c:scatterChart>
      <c:valAx>
        <c:axId val="16638566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29367"/>
        <c:crosses val="autoZero"/>
        <c:crossBetween val="midCat"/>
        <c:dispUnits/>
        <c:majorUnit val="2"/>
      </c:valAx>
      <c:valAx>
        <c:axId val="155293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638566"/>
        <c:crosses val="autoZero"/>
        <c:crossBetween val="midCat"/>
        <c:dispUnits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75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625"/>
          <c:w val="0.913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HA'!$G$9:$G$72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'De Levie HA'!$A$9:$A$72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5546576"/>
        <c:axId val="49919185"/>
      </c:scatterChart>
      <c:valAx>
        <c:axId val="554657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19185"/>
        <c:crosses val="autoZero"/>
        <c:crossBetween val="midCat"/>
        <c:dispUnits/>
        <c:majorUnit val="5"/>
      </c:valAx>
      <c:valAx>
        <c:axId val="4991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6576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625"/>
          <c:w val="0.913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HC (forte)'!$E$9:$E$72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'De Levie HC (forte)'!$A$9:$A$72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46619482"/>
        <c:axId val="16922155"/>
      </c:scatterChart>
      <c:valAx>
        <c:axId val="4661948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922155"/>
        <c:crosses val="autoZero"/>
        <c:crossBetween val="midCat"/>
        <c:dispUnits/>
        <c:majorUnit val="5"/>
      </c:valAx>
      <c:valAx>
        <c:axId val="169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19482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065"/>
          <c:w val="0.9467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'Esempio HA Debole con DOH forte'!$I$15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forte'!$A$16:$A$41</c:f>
              <c:numCach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2.5</c:v>
                </c:pt>
                <c:pt idx="4">
                  <c:v>5</c:v>
                </c:pt>
                <c:pt idx="5">
                  <c:v>7.5</c:v>
                </c:pt>
                <c:pt idx="6">
                  <c:v>10</c:v>
                </c:pt>
                <c:pt idx="7">
                  <c:v>12.500000000000002</c:v>
                </c:pt>
                <c:pt idx="8">
                  <c:v>15</c:v>
                </c:pt>
                <c:pt idx="9">
                  <c:v>17.5</c:v>
                </c:pt>
                <c:pt idx="10">
                  <c:v>20</c:v>
                </c:pt>
                <c:pt idx="11">
                  <c:v>22.5</c:v>
                </c:pt>
                <c:pt idx="12">
                  <c:v>24</c:v>
                </c:pt>
                <c:pt idx="13">
                  <c:v>24.5</c:v>
                </c:pt>
                <c:pt idx="14">
                  <c:v>24.7</c:v>
                </c:pt>
                <c:pt idx="15">
                  <c:v>24.8</c:v>
                </c:pt>
                <c:pt idx="16">
                  <c:v>24.9</c:v>
                </c:pt>
                <c:pt idx="17">
                  <c:v>25.000000000000004</c:v>
                </c:pt>
                <c:pt idx="18">
                  <c:v>25.1</c:v>
                </c:pt>
                <c:pt idx="19">
                  <c:v>25.2</c:v>
                </c:pt>
                <c:pt idx="20">
                  <c:v>25.5</c:v>
                </c:pt>
                <c:pt idx="21">
                  <c:v>26</c:v>
                </c:pt>
                <c:pt idx="22">
                  <c:v>27</c:v>
                </c:pt>
                <c:pt idx="23">
                  <c:v>30</c:v>
                </c:pt>
                <c:pt idx="24">
                  <c:v>32.5</c:v>
                </c:pt>
                <c:pt idx="25">
                  <c:v>35</c:v>
                </c:pt>
              </c:numCache>
            </c:numRef>
          </c:xVal>
          <c:yVal>
            <c:numRef>
              <c:f>'Esempio HA Debole con DOH forte'!$I$16:$I$41</c:f>
              <c:numCache>
                <c:ptCount val="26"/>
                <c:pt idx="0">
                  <c:v>3.0905174124961747</c:v>
                </c:pt>
                <c:pt idx="1">
                  <c:v>3.348810058085862</c:v>
                </c:pt>
                <c:pt idx="2">
                  <c:v>3.5531992021188956</c:v>
                </c:pt>
                <c:pt idx="3">
                  <c:v>3.930418909552444</c:v>
                </c:pt>
                <c:pt idx="4">
                  <c:v>4.274005734038964</c:v>
                </c:pt>
                <c:pt idx="5">
                  <c:v>4.5063995606802205</c:v>
                </c:pt>
                <c:pt idx="6">
                  <c:v>4.697674951085532</c:v>
                </c:pt>
                <c:pt idx="7">
                  <c:v>4.873476378072108</c:v>
                </c:pt>
                <c:pt idx="8">
                  <c:v>5.049406395665958</c:v>
                </c:pt>
                <c:pt idx="9">
                  <c:v>5.2411924665556295</c:v>
                </c:pt>
                <c:pt idx="10">
                  <c:v>5.475209693687127</c:v>
                </c:pt>
                <c:pt idx="11">
                  <c:v>5.827346005243777</c:v>
                </c:pt>
                <c:pt idx="12">
                  <c:v>6.2532933124250665</c:v>
                </c:pt>
                <c:pt idx="13">
                  <c:v>6.563271815802239</c:v>
                </c:pt>
                <c:pt idx="14">
                  <c:v>6.788649000462018</c:v>
                </c:pt>
                <c:pt idx="15">
                  <c:v>6.966493790726137</c:v>
                </c:pt>
                <c:pt idx="16">
                  <c:v>7.269270269746824</c:v>
                </c:pt>
                <c:pt idx="17">
                  <c:v>8.697854482497771</c:v>
                </c:pt>
                <c:pt idx="18">
                  <c:v>10.124360062995814</c:v>
                </c:pt>
                <c:pt idx="19">
                  <c:v>10.424812155072331</c:v>
                </c:pt>
                <c:pt idx="20">
                  <c:v>10.821023052706828</c:v>
                </c:pt>
                <c:pt idx="21">
                  <c:v>11.119186407719205</c:v>
                </c:pt>
                <c:pt idx="22">
                  <c:v>11.414539270491499</c:v>
                </c:pt>
                <c:pt idx="23">
                  <c:v>11.795880017344075</c:v>
                </c:pt>
                <c:pt idx="24">
                  <c:v>11.958607314841775</c:v>
                </c:pt>
                <c:pt idx="25">
                  <c:v>12.070581074285707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forte'!$A$17:$A$31</c:f>
              <c:numCache>
                <c:ptCount val="15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12.500000000000002</c:v>
                </c:pt>
                <c:pt idx="7">
                  <c:v>15</c:v>
                </c:pt>
                <c:pt idx="8">
                  <c:v>17.5</c:v>
                </c:pt>
                <c:pt idx="9">
                  <c:v>20</c:v>
                </c:pt>
                <c:pt idx="10">
                  <c:v>22.5</c:v>
                </c:pt>
                <c:pt idx="11">
                  <c:v>24</c:v>
                </c:pt>
                <c:pt idx="12">
                  <c:v>24.5</c:v>
                </c:pt>
                <c:pt idx="13">
                  <c:v>24.7</c:v>
                </c:pt>
                <c:pt idx="14">
                  <c:v>24.8</c:v>
                </c:pt>
              </c:numCache>
            </c:numRef>
          </c:xVal>
          <c:yVal>
            <c:numRef>
              <c:f>'Esempio HA Debole con DOH forte'!$I$17:$I$31</c:f>
              <c:numCache>
                <c:ptCount val="15"/>
                <c:pt idx="0">
                  <c:v>3.348810058085862</c:v>
                </c:pt>
                <c:pt idx="1">
                  <c:v>3.5531992021188956</c:v>
                </c:pt>
                <c:pt idx="2">
                  <c:v>3.930418909552444</c:v>
                </c:pt>
                <c:pt idx="3">
                  <c:v>4.274005734038964</c:v>
                </c:pt>
                <c:pt idx="4">
                  <c:v>4.5063995606802205</c:v>
                </c:pt>
                <c:pt idx="5">
                  <c:v>4.697674951085532</c:v>
                </c:pt>
                <c:pt idx="6">
                  <c:v>4.873476378072108</c:v>
                </c:pt>
                <c:pt idx="7">
                  <c:v>5.049406395665958</c:v>
                </c:pt>
                <c:pt idx="8">
                  <c:v>5.2411924665556295</c:v>
                </c:pt>
                <c:pt idx="9">
                  <c:v>5.475209693687127</c:v>
                </c:pt>
                <c:pt idx="10">
                  <c:v>5.827346005243777</c:v>
                </c:pt>
                <c:pt idx="11">
                  <c:v>6.2532933124250665</c:v>
                </c:pt>
                <c:pt idx="12">
                  <c:v>6.563271815802239</c:v>
                </c:pt>
                <c:pt idx="13">
                  <c:v>6.788649000462018</c:v>
                </c:pt>
                <c:pt idx="14">
                  <c:v>6.966493790726137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forte'!$A$33</c:f>
              <c:numCache>
                <c:ptCount val="1"/>
                <c:pt idx="0">
                  <c:v>25.000000000000004</c:v>
                </c:pt>
              </c:numCache>
            </c:numRef>
          </c:xVal>
          <c:yVal>
            <c:numRef>
              <c:f>'Esempio HA Debole con DOH forte'!$I$33</c:f>
              <c:numCache>
                <c:ptCount val="1"/>
                <c:pt idx="0">
                  <c:v>8.697854482497771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forte'!$A$35:$A$41</c:f>
              <c:numCache>
                <c:ptCount val="7"/>
                <c:pt idx="0">
                  <c:v>25.2</c:v>
                </c:pt>
                <c:pt idx="1">
                  <c:v>25.5</c:v>
                </c:pt>
                <c:pt idx="2">
                  <c:v>26</c:v>
                </c:pt>
                <c:pt idx="3">
                  <c:v>27</c:v>
                </c:pt>
                <c:pt idx="4">
                  <c:v>30</c:v>
                </c:pt>
                <c:pt idx="5">
                  <c:v>32.5</c:v>
                </c:pt>
                <c:pt idx="6">
                  <c:v>35</c:v>
                </c:pt>
              </c:numCache>
            </c:numRef>
          </c:xVal>
          <c:yVal>
            <c:numRef>
              <c:f>'Esempio HA Debole con DOH forte'!$I$35:$I$41</c:f>
              <c:numCache>
                <c:ptCount val="7"/>
                <c:pt idx="0">
                  <c:v>10.424812155072331</c:v>
                </c:pt>
                <c:pt idx="1">
                  <c:v>10.821023052706828</c:v>
                </c:pt>
                <c:pt idx="2">
                  <c:v>11.119186407719205</c:v>
                </c:pt>
                <c:pt idx="3">
                  <c:v>11.414539270491499</c:v>
                </c:pt>
                <c:pt idx="4">
                  <c:v>11.795880017344075</c:v>
                </c:pt>
                <c:pt idx="5">
                  <c:v>11.958607314841775</c:v>
                </c:pt>
                <c:pt idx="6">
                  <c:v>12.070581074285707</c:v>
                </c:pt>
              </c:numCache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'Esempio HA Debole con DOH forte'!$I$16</c:f>
              <c:numCache>
                <c:ptCount val="1"/>
                <c:pt idx="0">
                  <c:v>3.0905174124961747</c:v>
                </c:pt>
              </c:numCache>
            </c:numRef>
          </c:yVal>
          <c:smooth val="0"/>
        </c:ser>
        <c:axId val="24081198"/>
        <c:axId val="15404191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forte'!$L$20:$L$41</c:f>
              <c:numCache>
                <c:ptCount val="22"/>
              </c:numCache>
            </c:numRef>
          </c:xVal>
          <c:yVal>
            <c:numRef>
              <c:f>'Esempio HA Debole con DOH forte'!$M$20:$M$41</c:f>
              <c:numCache>
                <c:ptCount val="22"/>
              </c:numCache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'Esempio HA Debole con DOH forte'!$A$23</c:f>
              <c:numCache>
                <c:ptCount val="1"/>
                <c:pt idx="0">
                  <c:v>12.500000000000002</c:v>
                </c:pt>
              </c:numCache>
            </c:numRef>
          </c:xVal>
          <c:yVal>
            <c:numRef>
              <c:f>'Esempio HA Debole con DOH forte'!$I$23</c:f>
              <c:numCache>
                <c:ptCount val="1"/>
                <c:pt idx="0">
                  <c:v>4.873476378072108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forte'!$L$43:$L$44</c:f>
              <c:numCache>
                <c:ptCount val="2"/>
                <c:pt idx="0">
                  <c:v>12.5</c:v>
                </c:pt>
                <c:pt idx="1">
                  <c:v>12.5</c:v>
                </c:pt>
              </c:numCache>
            </c:numRef>
          </c:xVal>
          <c:yVal>
            <c:numRef>
              <c:f>'Esempio HA Debole con DOH forte'!$M$43:$M$44</c:f>
              <c:numCache>
                <c:ptCount val="2"/>
                <c:pt idx="0">
                  <c:v>0</c:v>
                </c:pt>
                <c:pt idx="1">
                  <c:v>4.76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forte'!$L$46:$L$47</c:f>
              <c:numCach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'Esempio HA Debole con DOH forte'!$M$46:$M$47</c:f>
              <c:numCache>
                <c:ptCount val="2"/>
                <c:pt idx="0">
                  <c:v>4.76</c:v>
                </c:pt>
                <c:pt idx="1">
                  <c:v>4.76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'Esempio HA Debole con DOH forte'!$O$43:$O$44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'Esempio HA Debole con DOH forte'!$P$43:$P$44</c:f>
              <c:numCache>
                <c:ptCount val="2"/>
                <c:pt idx="0">
                  <c:v>0</c:v>
                </c:pt>
                <c:pt idx="1">
                  <c:v>8.697854482497771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'Esempio HA Debole con DOH forte'!$R$16:$R$60</c:f>
              <c:numCache>
                <c:ptCount val="45"/>
              </c:numCache>
            </c:numRef>
          </c:xVal>
          <c:yVal>
            <c:numRef>
              <c:f>'Esempio HA Debole con DOH forte'!$S$16:$S$60</c:f>
              <c:numCache>
                <c:ptCount val="45"/>
              </c:numCache>
            </c:numRef>
          </c:yVal>
          <c:smooth val="0"/>
        </c:ser>
        <c:axId val="4419992"/>
        <c:axId val="39779929"/>
      </c:scatterChart>
      <c:valAx>
        <c:axId val="24081198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V</a:t>
                </a:r>
                <a:r>
                  <a:rPr lang="en-US" cap="none" sz="1400" b="1" i="0" u="none" baseline="-25000"/>
                  <a:t>T</a:t>
                </a:r>
                <a:r>
                  <a:rPr lang="en-US" cap="none" sz="1400" b="1" i="0" u="none" baseline="0"/>
                  <a:t>/cm</a:t>
                </a:r>
                <a:r>
                  <a:rPr lang="en-US" cap="none" sz="14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404191"/>
        <c:crosses val="autoZero"/>
        <c:crossBetween val="midCat"/>
        <c:dispUnits/>
        <c:majorUnit val="5"/>
      </c:valAx>
      <c:valAx>
        <c:axId val="1540419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pH </a:t>
                </a:r>
              </a:p>
            </c:rich>
          </c:tx>
          <c:layout>
            <c:manualLayout>
              <c:xMode val="factor"/>
              <c:yMode val="factor"/>
              <c:x val="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081198"/>
        <c:crosses val="autoZero"/>
        <c:crossBetween val="midCat"/>
        <c:dispUnits/>
        <c:majorUnit val="1"/>
        <c:minorUnit val="1"/>
      </c:valAx>
      <c:valAx>
        <c:axId val="4419992"/>
        <c:scaling>
          <c:orientation val="minMax"/>
        </c:scaling>
        <c:axPos val="b"/>
        <c:delete val="1"/>
        <c:majorTickMark val="in"/>
        <c:minorTickMark val="none"/>
        <c:tickLblPos val="nextTo"/>
        <c:crossAx val="39779929"/>
        <c:crosses val="max"/>
        <c:crossBetween val="midCat"/>
        <c:dispUnits/>
      </c:valAx>
      <c:valAx>
        <c:axId val="3977992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419992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065"/>
          <c:w val="0.9467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'Maschera HA Debole da riempire'!$I$15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riempire'!$A$16:$A$41</c:f>
              <c:numCache>
                <c:ptCount val="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2.5</c:v>
                </c:pt>
                <c:pt idx="4">
                  <c:v>5</c:v>
                </c:pt>
                <c:pt idx="5">
                  <c:v>7.5</c:v>
                </c:pt>
                <c:pt idx="6">
                  <c:v>10</c:v>
                </c:pt>
                <c:pt idx="7">
                  <c:v>0</c:v>
                </c:pt>
                <c:pt idx="8">
                  <c:v>15</c:v>
                </c:pt>
                <c:pt idx="9">
                  <c:v>17.5</c:v>
                </c:pt>
                <c:pt idx="10">
                  <c:v>20</c:v>
                </c:pt>
                <c:pt idx="11">
                  <c:v>22.5</c:v>
                </c:pt>
                <c:pt idx="12">
                  <c:v>24</c:v>
                </c:pt>
                <c:pt idx="13">
                  <c:v>24.5</c:v>
                </c:pt>
                <c:pt idx="14">
                  <c:v>24.7</c:v>
                </c:pt>
                <c:pt idx="15">
                  <c:v>24.8</c:v>
                </c:pt>
                <c:pt idx="16">
                  <c:v>24.9</c:v>
                </c:pt>
                <c:pt idx="17">
                  <c:v>0</c:v>
                </c:pt>
                <c:pt idx="18">
                  <c:v>25.1</c:v>
                </c:pt>
                <c:pt idx="19">
                  <c:v>25.2</c:v>
                </c:pt>
                <c:pt idx="20">
                  <c:v>25.5</c:v>
                </c:pt>
                <c:pt idx="21">
                  <c:v>26</c:v>
                </c:pt>
                <c:pt idx="22">
                  <c:v>27</c:v>
                </c:pt>
                <c:pt idx="23">
                  <c:v>30</c:v>
                </c:pt>
                <c:pt idx="24">
                  <c:v>32.5</c:v>
                </c:pt>
                <c:pt idx="25">
                  <c:v>35</c:v>
                </c:pt>
              </c:numCache>
            </c:numRef>
          </c:xVal>
          <c:yVal>
            <c:numRef>
              <c:f>'Maschera HA Debole da riempire'!$I$16:$I$41</c:f>
              <c:numCache>
                <c:ptCount val="26"/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riempire'!$A$17:$A$31</c:f>
              <c:numCache>
                <c:ptCount val="15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0</c:v>
                </c:pt>
                <c:pt idx="7">
                  <c:v>15</c:v>
                </c:pt>
                <c:pt idx="8">
                  <c:v>17.5</c:v>
                </c:pt>
                <c:pt idx="9">
                  <c:v>20</c:v>
                </c:pt>
                <c:pt idx="10">
                  <c:v>22.5</c:v>
                </c:pt>
                <c:pt idx="11">
                  <c:v>24</c:v>
                </c:pt>
                <c:pt idx="12">
                  <c:v>24.5</c:v>
                </c:pt>
                <c:pt idx="13">
                  <c:v>24.7</c:v>
                </c:pt>
                <c:pt idx="14">
                  <c:v>24.8</c:v>
                </c:pt>
              </c:numCache>
            </c:numRef>
          </c:xVal>
          <c:yVal>
            <c:numRef>
              <c:f>'Maschera HA Debole da riempire'!$I$17:$I$31</c:f>
              <c:numCache>
                <c:ptCount val="15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riempire'!$A$33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'Maschera HA Debole da riempire'!$I$33</c:f>
              <c:numCache>
                <c:ptCount val="1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riempire'!$A$35:$A$41</c:f>
              <c:numCache>
                <c:ptCount val="7"/>
                <c:pt idx="0">
                  <c:v>25.2</c:v>
                </c:pt>
                <c:pt idx="1">
                  <c:v>25.5</c:v>
                </c:pt>
                <c:pt idx="2">
                  <c:v>26</c:v>
                </c:pt>
                <c:pt idx="3">
                  <c:v>27</c:v>
                </c:pt>
                <c:pt idx="4">
                  <c:v>30</c:v>
                </c:pt>
                <c:pt idx="5">
                  <c:v>32.5</c:v>
                </c:pt>
                <c:pt idx="6">
                  <c:v>35</c:v>
                </c:pt>
              </c:numCache>
            </c:numRef>
          </c:xVal>
          <c:yVal>
            <c:numRef>
              <c:f>'Maschera HA Debole da riempire'!$I$35:$I$41</c:f>
              <c:numCache>
                <c:ptCount val="7"/>
              </c:numCache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'Maschera HA Debole da riempire'!$I$16</c:f>
              <c:numCache>
                <c:ptCount val="1"/>
              </c:numCache>
            </c:numRef>
          </c:yVal>
          <c:smooth val="0"/>
        </c:ser>
        <c:axId val="22475042"/>
        <c:axId val="948787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riempire'!$L$20:$L$41</c:f>
              <c:numCache>
                <c:ptCount val="22"/>
              </c:numCache>
            </c:numRef>
          </c:xVal>
          <c:yVal>
            <c:numRef>
              <c:f>'Maschera HA Debole da riempire'!$M$20:$M$41</c:f>
              <c:numCache>
                <c:ptCount val="22"/>
              </c:numCache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HA Debole da riempire'!$A$23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'Maschera HA Debole da riempire'!$I$23</c:f>
              <c:numCache>
                <c:ptCount val="1"/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riempire'!$L$43:$L$44</c:f>
              <c:numCache>
                <c:ptCount val="2"/>
                <c:pt idx="0">
                  <c:v>12.5</c:v>
                </c:pt>
                <c:pt idx="1">
                  <c:v>12.5</c:v>
                </c:pt>
              </c:numCache>
            </c:numRef>
          </c:xVal>
          <c:yVal>
            <c:numRef>
              <c:f>'Maschera HA Debole da riempire'!$M$43:$M$44</c:f>
              <c:numCache>
                <c:ptCount val="2"/>
                <c:pt idx="0">
                  <c:v>0</c:v>
                </c:pt>
                <c:pt idx="1">
                  <c:v>4.76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riempire'!$L$46:$L$47</c:f>
              <c:numCache>
                <c:ptCount val="2"/>
                <c:pt idx="0">
                  <c:v>0</c:v>
                </c:pt>
                <c:pt idx="1">
                  <c:v>12.5</c:v>
                </c:pt>
              </c:numCache>
            </c:numRef>
          </c:xVal>
          <c:yVal>
            <c:numRef>
              <c:f>'Maschera HA Debole da riempire'!$M$46:$M$47</c:f>
              <c:numCache>
                <c:ptCount val="2"/>
                <c:pt idx="0">
                  <c:v>4.76</c:v>
                </c:pt>
                <c:pt idx="1">
                  <c:v>4.76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HA Debole da riempire'!$O$43:$O$44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'Maschera HA Debole da riempire'!$P$43:$P$44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'Maschera HA Debole da riempire'!$R$16:$R$60</c:f>
              <c:numCache>
                <c:ptCount val="45"/>
              </c:numCache>
            </c:numRef>
          </c:xVal>
          <c:yVal>
            <c:numRef>
              <c:f>'Maschera HA Debole da riempire'!$S$16:$S$60</c:f>
              <c:numCache>
                <c:ptCount val="45"/>
              </c:numCache>
            </c:numRef>
          </c:yVal>
          <c:smooth val="0"/>
        </c:ser>
        <c:axId val="8539084"/>
        <c:axId val="9742893"/>
      </c:scatterChart>
      <c:valAx>
        <c:axId val="22475042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/>
                  <a:t>V</a:t>
                </a:r>
                <a:r>
                  <a:rPr lang="en-US" cap="none" sz="1400" b="1" i="0" u="none" baseline="-25000"/>
                  <a:t>T</a:t>
                </a:r>
                <a:r>
                  <a:rPr lang="en-US" cap="none" sz="1400" b="1" i="0" u="none" baseline="0"/>
                  <a:t>/cm</a:t>
                </a:r>
                <a:r>
                  <a:rPr lang="en-US" cap="none" sz="14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48787"/>
        <c:crosses val="autoZero"/>
        <c:crossBetween val="midCat"/>
        <c:dispUnits/>
        <c:majorUnit val="5"/>
      </c:valAx>
      <c:valAx>
        <c:axId val="94878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pH </a:t>
                </a:r>
              </a:p>
            </c:rich>
          </c:tx>
          <c:layout>
            <c:manualLayout>
              <c:xMode val="factor"/>
              <c:yMode val="factor"/>
              <c:x val="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475042"/>
        <c:crosses val="autoZero"/>
        <c:crossBetween val="midCat"/>
        <c:dispUnits/>
        <c:majorUnit val="1"/>
        <c:minorUnit val="1"/>
      </c:valAx>
      <c:valAx>
        <c:axId val="8539084"/>
        <c:scaling>
          <c:orientation val="minMax"/>
        </c:scaling>
        <c:axPos val="b"/>
        <c:delete val="1"/>
        <c:majorTickMark val="in"/>
        <c:minorTickMark val="none"/>
        <c:tickLblPos val="nextTo"/>
        <c:crossAx val="9742893"/>
        <c:crosses val="max"/>
        <c:crossBetween val="midCat"/>
        <c:dispUnits/>
      </c:valAx>
      <c:valAx>
        <c:axId val="9742893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8539084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"/>
          <c:w val="0.921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'Es H2A Debole con DOH forte'!$J$11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H2A Debole con DOH forte'!$A$12:$A$37</c:f>
              <c:numCache>
                <c:ptCount val="26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14.5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21.5</c:v>
                </c:pt>
                <c:pt idx="16">
                  <c:v>23</c:v>
                </c:pt>
                <c:pt idx="17">
                  <c:v>23.5</c:v>
                </c:pt>
                <c:pt idx="18">
                  <c:v>23.9</c:v>
                </c:pt>
                <c:pt idx="19">
                  <c:v>24</c:v>
                </c:pt>
                <c:pt idx="20">
                  <c:v>24.1</c:v>
                </c:pt>
                <c:pt idx="21">
                  <c:v>24.5</c:v>
                </c:pt>
                <c:pt idx="22">
                  <c:v>25</c:v>
                </c:pt>
                <c:pt idx="23">
                  <c:v>26</c:v>
                </c:pt>
                <c:pt idx="24">
                  <c:v>28</c:v>
                </c:pt>
                <c:pt idx="25">
                  <c:v>30</c:v>
                </c:pt>
              </c:numCache>
            </c:numRef>
          </c:xVal>
          <c:yVal>
            <c:numRef>
              <c:f>'Es H2A Debole con DOH forte'!$J$12:$J$37</c:f>
              <c:numCache>
                <c:ptCount val="26"/>
                <c:pt idx="0">
                  <c:v>1.9497166223594955</c:v>
                </c:pt>
                <c:pt idx="1">
                  <c:v>2.224047040319296</c:v>
                </c:pt>
                <c:pt idx="2">
                  <c:v>2.464864858277805</c:v>
                </c:pt>
                <c:pt idx="3">
                  <c:v>2.678531341338714</c:v>
                </c:pt>
                <c:pt idx="4">
                  <c:v>2.8819278917741995</c:v>
                </c:pt>
                <c:pt idx="5">
                  <c:v>3.0939887576865446</c:v>
                </c:pt>
                <c:pt idx="6">
                  <c:v>3.3434149144374063</c:v>
                </c:pt>
                <c:pt idx="7">
                  <c:v>3.5625707732202385</c:v>
                </c:pt>
                <c:pt idx="8">
                  <c:v>3.902912629543389</c:v>
                </c:pt>
                <c:pt idx="9">
                  <c:v>4.272257799098227</c:v>
                </c:pt>
                <c:pt idx="10">
                  <c:v>4.655411202935708</c:v>
                </c:pt>
                <c:pt idx="11">
                  <c:v>5.117020269368406</c:v>
                </c:pt>
                <c:pt idx="12">
                  <c:v>5.3957738333724174</c:v>
                </c:pt>
                <c:pt idx="13">
                  <c:v>5.696803726518556</c:v>
                </c:pt>
                <c:pt idx="14">
                  <c:v>5.99783341970176</c:v>
                </c:pt>
                <c:pt idx="15">
                  <c:v>6.276586149464541</c:v>
                </c:pt>
                <c:pt idx="16">
                  <c:v>6.738187553196133</c:v>
                </c:pt>
                <c:pt idx="17">
                  <c:v>7.058494965347438</c:v>
                </c:pt>
                <c:pt idx="18">
                  <c:v>7.771423049586817</c:v>
                </c:pt>
                <c:pt idx="19">
                  <c:v>9.109757452632396</c:v>
                </c:pt>
                <c:pt idx="20">
                  <c:v>10.442492798094339</c:v>
                </c:pt>
                <c:pt idx="21">
                  <c:v>11.136677139879545</c:v>
                </c:pt>
                <c:pt idx="22">
                  <c:v>11.431798275933005</c:v>
                </c:pt>
                <c:pt idx="23">
                  <c:v>11.721246399047171</c:v>
                </c:pt>
                <c:pt idx="24">
                  <c:v>12</c:v>
                </c:pt>
                <c:pt idx="25">
                  <c:v>12.154901959985743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forte'!$A$13:$A$20</c:f>
              <c:numCache>
                <c:ptCount val="8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6</c:v>
                </c:pt>
                <c:pt idx="4">
                  <c:v>7.5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numCache>
            </c:numRef>
          </c:xVal>
          <c:yVal>
            <c:numRef>
              <c:f>'Es H2A Debole con DOH forte'!$J$13:$J$20</c:f>
              <c:numCache>
                <c:ptCount val="8"/>
                <c:pt idx="0">
                  <c:v>2.224047040319296</c:v>
                </c:pt>
                <c:pt idx="1">
                  <c:v>2.464864858277805</c:v>
                </c:pt>
                <c:pt idx="2">
                  <c:v>2.678531341338714</c:v>
                </c:pt>
                <c:pt idx="3">
                  <c:v>2.8819278917741995</c:v>
                </c:pt>
                <c:pt idx="4">
                  <c:v>3.0939887576865446</c:v>
                </c:pt>
                <c:pt idx="5">
                  <c:v>3.3434149144374063</c:v>
                </c:pt>
                <c:pt idx="6">
                  <c:v>3.5625707732202385</c:v>
                </c:pt>
                <c:pt idx="7">
                  <c:v>3.902912629543389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forte'!$A$21</c:f>
              <c:numCache>
                <c:ptCount val="1"/>
                <c:pt idx="0">
                  <c:v>12</c:v>
                </c:pt>
              </c:numCache>
            </c:numRef>
          </c:xVal>
          <c:yVal>
            <c:numRef>
              <c:f>'Es H2A Debole con DOH forte'!$J$21</c:f>
              <c:numCache>
                <c:ptCount val="1"/>
                <c:pt idx="0">
                  <c:v>4.272257799098227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forte'!$A$22:$A$30</c:f>
              <c:numCache>
                <c:ptCount val="9"/>
                <c:pt idx="0">
                  <c:v>13</c:v>
                </c:pt>
                <c:pt idx="1">
                  <c:v>14.5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21.5</c:v>
                </c:pt>
                <c:pt idx="6">
                  <c:v>23</c:v>
                </c:pt>
                <c:pt idx="7">
                  <c:v>23.5</c:v>
                </c:pt>
                <c:pt idx="8">
                  <c:v>23.9</c:v>
                </c:pt>
              </c:numCache>
            </c:numRef>
          </c:xVal>
          <c:yVal>
            <c:numRef>
              <c:f>'Es H2A Debole con DOH forte'!$J$22:$J$30</c:f>
              <c:numCache>
                <c:ptCount val="9"/>
                <c:pt idx="0">
                  <c:v>4.655411202935708</c:v>
                </c:pt>
                <c:pt idx="1">
                  <c:v>5.117020269368406</c:v>
                </c:pt>
                <c:pt idx="2">
                  <c:v>5.3957738333724174</c:v>
                </c:pt>
                <c:pt idx="3">
                  <c:v>5.696803726518556</c:v>
                </c:pt>
                <c:pt idx="4">
                  <c:v>5.99783341970176</c:v>
                </c:pt>
                <c:pt idx="5">
                  <c:v>6.276586149464541</c:v>
                </c:pt>
                <c:pt idx="6">
                  <c:v>6.738187553196133</c:v>
                </c:pt>
                <c:pt idx="7">
                  <c:v>7.058494965347438</c:v>
                </c:pt>
                <c:pt idx="8">
                  <c:v>7.771423049586817</c:v>
                </c:pt>
              </c:numCache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'Es H2A Debole con DOH forte'!$J$12</c:f>
              <c:numCache>
                <c:ptCount val="1"/>
                <c:pt idx="0">
                  <c:v>1.9497166223594955</c:v>
                </c:pt>
              </c:numCache>
            </c:numRef>
          </c:yVal>
          <c:smooth val="0"/>
        </c:ser>
        <c:axId val="20577174"/>
        <c:axId val="50976839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 H2A Debole con DOH forte'!$L$15:$L$37</c:f>
              <c:numCache>
                <c:ptCount val="23"/>
              </c:numCache>
            </c:numRef>
          </c:xVal>
          <c:yVal>
            <c:numRef>
              <c:f>'Es H2A Debole con DOH forte'!$M$15:$M$37</c:f>
              <c:numCache>
                <c:ptCount val="23"/>
              </c:numCache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forte'!$A$31</c:f>
              <c:numCache>
                <c:ptCount val="1"/>
                <c:pt idx="0">
                  <c:v>24</c:v>
                </c:pt>
              </c:numCache>
            </c:numRef>
          </c:xVal>
          <c:yVal>
            <c:numRef>
              <c:f>'Es H2A Debole con DOH forte'!$J$31</c:f>
              <c:numCache>
                <c:ptCount val="1"/>
                <c:pt idx="0">
                  <c:v>9.109757452632396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forte'!$A$32:$A$37</c:f>
              <c:numCache>
                <c:ptCount val="6"/>
                <c:pt idx="0">
                  <c:v>24.1</c:v>
                </c:pt>
                <c:pt idx="1">
                  <c:v>24.5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xVal>
          <c:yVal>
            <c:numRef>
              <c:f>'Es H2A Debole con DOH forte'!$J$32:$J$37</c:f>
              <c:numCache>
                <c:ptCount val="6"/>
                <c:pt idx="0">
                  <c:v>10.442492798094339</c:v>
                </c:pt>
                <c:pt idx="1">
                  <c:v>11.136677139879545</c:v>
                </c:pt>
                <c:pt idx="2">
                  <c:v>11.431798275933005</c:v>
                </c:pt>
                <c:pt idx="3">
                  <c:v>11.721246399047171</c:v>
                </c:pt>
                <c:pt idx="4">
                  <c:v>12</c:v>
                </c:pt>
                <c:pt idx="5">
                  <c:v>12.154901959985743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forte'!$A$16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'Es H2A Debole con DOH forte'!$J$16</c:f>
              <c:numCache>
                <c:ptCount val="1"/>
                <c:pt idx="0">
                  <c:v>2.8819278917741995</c:v>
                </c:pt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 H2A Debole con DOH forte'!$A$25</c:f>
              <c:numCache>
                <c:ptCount val="1"/>
                <c:pt idx="0">
                  <c:v>18</c:v>
                </c:pt>
              </c:numCache>
            </c:numRef>
          </c:xVal>
          <c:yVal>
            <c:numRef>
              <c:f>'Es H2A Debole con DOH forte'!$J$25</c:f>
              <c:numCache>
                <c:ptCount val="1"/>
                <c:pt idx="0">
                  <c:v>5.696803726518556</c:v>
                </c:pt>
              </c:numCache>
            </c:numRef>
          </c:yVal>
          <c:smooth val="0"/>
        </c:ser>
        <c:axId val="56138368"/>
        <c:axId val="35483265"/>
      </c:scatterChart>
      <c:valAx>
        <c:axId val="20577174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976839"/>
        <c:crosses val="autoZero"/>
        <c:crossBetween val="midCat"/>
        <c:dispUnits/>
        <c:majorUnit val="5"/>
      </c:valAx>
      <c:valAx>
        <c:axId val="5097683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577174"/>
        <c:crosses val="autoZero"/>
        <c:crossBetween val="midCat"/>
        <c:dispUnits/>
        <c:majorUnit val="1"/>
        <c:minorUnit val="1"/>
      </c:valAx>
      <c:valAx>
        <c:axId val="56138368"/>
        <c:scaling>
          <c:orientation val="minMax"/>
        </c:scaling>
        <c:axPos val="b"/>
        <c:delete val="1"/>
        <c:majorTickMark val="in"/>
        <c:minorTickMark val="none"/>
        <c:tickLblPos val="nextTo"/>
        <c:crossAx val="35483265"/>
        <c:crosses val="max"/>
        <c:crossBetween val="midCat"/>
        <c:dispUnits/>
      </c:valAx>
      <c:valAx>
        <c:axId val="3548326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6138368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"/>
          <c:w val="0.921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'Maschera H2A Debole da riempire'!$J$11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H2A Debole da riempire'!$A$12:$A$37</c:f>
              <c:numCache>
                <c:ptCount val="26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0</c:v>
                </c:pt>
                <c:pt idx="5">
                  <c:v>7.5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0</c:v>
                </c:pt>
                <c:pt idx="10">
                  <c:v>13</c:v>
                </c:pt>
                <c:pt idx="11">
                  <c:v>14.5</c:v>
                </c:pt>
                <c:pt idx="12">
                  <c:v>16</c:v>
                </c:pt>
                <c:pt idx="13">
                  <c:v>0</c:v>
                </c:pt>
                <c:pt idx="14">
                  <c:v>20</c:v>
                </c:pt>
                <c:pt idx="15">
                  <c:v>21.5</c:v>
                </c:pt>
                <c:pt idx="16">
                  <c:v>23</c:v>
                </c:pt>
                <c:pt idx="17">
                  <c:v>23.5</c:v>
                </c:pt>
                <c:pt idx="18">
                  <c:v>23.9</c:v>
                </c:pt>
                <c:pt idx="19">
                  <c:v>0</c:v>
                </c:pt>
                <c:pt idx="20">
                  <c:v>24.1</c:v>
                </c:pt>
                <c:pt idx="21">
                  <c:v>24.5</c:v>
                </c:pt>
                <c:pt idx="22">
                  <c:v>25</c:v>
                </c:pt>
                <c:pt idx="23">
                  <c:v>26</c:v>
                </c:pt>
                <c:pt idx="24">
                  <c:v>28</c:v>
                </c:pt>
                <c:pt idx="25">
                  <c:v>30</c:v>
                </c:pt>
              </c:numCache>
            </c:numRef>
          </c:xVal>
          <c:yVal>
            <c:numRef>
              <c:f>'Maschera H2A Debole da riempire'!$J$12:$J$37</c:f>
              <c:numCache>
                <c:ptCount val="26"/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riempire'!$A$13:$A$20</c:f>
              <c:numCache>
                <c:ptCount val="8"/>
                <c:pt idx="0">
                  <c:v>1.5</c:v>
                </c:pt>
                <c:pt idx="1">
                  <c:v>3</c:v>
                </c:pt>
                <c:pt idx="2">
                  <c:v>4.5</c:v>
                </c:pt>
                <c:pt idx="3">
                  <c:v>0</c:v>
                </c:pt>
                <c:pt idx="4">
                  <c:v>7.5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</c:numCache>
            </c:numRef>
          </c:xVal>
          <c:yVal>
            <c:numRef>
              <c:f>'Maschera H2A Debole da riempire'!$J$13:$J$20</c:f>
              <c:numCache>
                <c:ptCount val="8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riempire'!$A$21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'Maschera H2A Debole da riempire'!$J$21</c:f>
              <c:numCache>
                <c:ptCount val="1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riempire'!$A$22:$A$30</c:f>
              <c:numCache>
                <c:ptCount val="9"/>
                <c:pt idx="0">
                  <c:v>13</c:v>
                </c:pt>
                <c:pt idx="1">
                  <c:v>14.5</c:v>
                </c:pt>
                <c:pt idx="2">
                  <c:v>16</c:v>
                </c:pt>
                <c:pt idx="3">
                  <c:v>0</c:v>
                </c:pt>
                <c:pt idx="4">
                  <c:v>20</c:v>
                </c:pt>
                <c:pt idx="5">
                  <c:v>21.5</c:v>
                </c:pt>
                <c:pt idx="6">
                  <c:v>23</c:v>
                </c:pt>
                <c:pt idx="7">
                  <c:v>23.5</c:v>
                </c:pt>
                <c:pt idx="8">
                  <c:v>23.9</c:v>
                </c:pt>
              </c:numCache>
            </c:numRef>
          </c:xVal>
          <c:yVal>
            <c:numRef>
              <c:f>'Maschera H2A Debole da riempire'!$J$22:$J$30</c:f>
              <c:numCache>
                <c:ptCount val="9"/>
              </c:numCache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riempire'!$A$12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'Maschera H2A Debole da riempire'!$J$12</c:f>
              <c:numCache>
                <c:ptCount val="1"/>
              </c:numCache>
            </c:numRef>
          </c:yVal>
          <c:smooth val="0"/>
        </c:ser>
        <c:axId val="50913930"/>
        <c:axId val="55572187"/>
      </c:scatterChart>
      <c:scatterChart>
        <c:scatterStyle val="lineMarker"/>
        <c:varyColors val="0"/>
        <c:ser>
          <c:idx val="5"/>
          <c:order val="4"/>
          <c:spPr>
            <a:ln w="25400">
              <a:solidFill>
                <a:srgbClr val="C0C0C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'Maschera H2A Debole da riempire'!$L$15:$L$37</c:f>
              <c:numCache>
                <c:ptCount val="23"/>
              </c:numCache>
            </c:numRef>
          </c:xVal>
          <c:yVal>
            <c:numRef>
              <c:f>'Maschera H2A Debole da riempire'!$M$15:$M$37</c:f>
              <c:numCache>
                <c:ptCount val="23"/>
              </c:numCache>
            </c:numRef>
          </c:yVal>
          <c:smooth val="1"/>
        </c:ser>
        <c:ser>
          <c:idx val="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riempire'!$A$31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'Maschera H2A Debole da riempire'!$J$31</c:f>
              <c:numCache>
                <c:ptCount val="1"/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riempire'!$A$32:$A$37</c:f>
              <c:numCache>
                <c:ptCount val="6"/>
                <c:pt idx="0">
                  <c:v>24.1</c:v>
                </c:pt>
                <c:pt idx="1">
                  <c:v>24.5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xVal>
          <c:yVal>
            <c:numRef>
              <c:f>'Maschera H2A Debole da riempire'!$J$32:$J$37</c:f>
              <c:numCache>
                <c:ptCount val="6"/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'Maschera H2A Debole da riempire'!$J$16</c:f>
              <c:numCache>
                <c:ptCount val="1"/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'Maschera H2A Debole da riempire'!$A$25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'Maschera H2A Debole da riempire'!$J$25</c:f>
              <c:numCache>
                <c:ptCount val="1"/>
              </c:numCache>
            </c:numRef>
          </c:yVal>
          <c:smooth val="0"/>
        </c:ser>
        <c:axId val="30387636"/>
        <c:axId val="5053269"/>
      </c:scatterChart>
      <c:valAx>
        <c:axId val="50913930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572187"/>
        <c:crosses val="autoZero"/>
        <c:crossBetween val="midCat"/>
        <c:dispUnits/>
        <c:majorUnit val="5"/>
      </c:valAx>
      <c:valAx>
        <c:axId val="5557218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913930"/>
        <c:crosses val="autoZero"/>
        <c:crossBetween val="midCat"/>
        <c:dispUnits/>
        <c:majorUnit val="1"/>
        <c:minorUnit val="1"/>
      </c:valAx>
      <c:valAx>
        <c:axId val="30387636"/>
        <c:scaling>
          <c:orientation val="minMax"/>
        </c:scaling>
        <c:axPos val="b"/>
        <c:delete val="1"/>
        <c:majorTickMark val="in"/>
        <c:minorTickMark val="none"/>
        <c:tickLblPos val="nextTo"/>
        <c:crossAx val="5053269"/>
        <c:crosses val="max"/>
        <c:crossBetween val="midCat"/>
        <c:dispUnits/>
      </c:valAx>
      <c:valAx>
        <c:axId val="505326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0387636"/>
        <c:crosses val="max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625"/>
          <c:w val="0.8447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 Levie H3A'!$D$8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H3A'!$A$9:$A$79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H3A'!$D$9:$D$79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'De Levie H3A'!$E$8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H3A'!$A$9:$A$79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H3A'!$E$9:$E$79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'De Levie H3A'!$F$8</c:f>
              <c:strCache>
                <c:ptCount val="1"/>
                <c:pt idx="0">
                  <c:v>a1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H3A'!$A$9:$A$79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H3A'!$F$9:$F$79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'De Levie H3A'!$G$8</c:f>
              <c:strCache>
                <c:ptCount val="1"/>
                <c:pt idx="0">
                  <c:v>a0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H3A'!$A$9:$A$79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H3A'!$G$9:$G$79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axId val="45479422"/>
        <c:axId val="6661615"/>
      </c:scatterChart>
      <c:valAx>
        <c:axId val="45479422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1615"/>
        <c:crosses val="autoZero"/>
        <c:crossBetween val="midCat"/>
        <c:dispUnits/>
        <c:majorUnit val="2"/>
      </c:valAx>
      <c:valAx>
        <c:axId val="66616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47942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075"/>
          <c:y val="0.2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65"/>
          <c:w val="0.913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H3A'!$I$9:$I$72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'De Levie H3A'!$A$9:$A$72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59954536"/>
        <c:axId val="2719913"/>
      </c:scatterChart>
      <c:valAx>
        <c:axId val="5995453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9913"/>
        <c:crosses val="autoZero"/>
        <c:crossBetween val="midCat"/>
        <c:dispUnits/>
        <c:majorUnit val="10"/>
      </c:valAx>
      <c:valAx>
        <c:axId val="27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54536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6"/>
          <c:w val="0.84475"/>
          <c:h val="0.8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 Levie H2A'!$D$8</c:f>
              <c:strCache>
                <c:ptCount val="1"/>
                <c:pt idx="0">
                  <c:v>a2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H2A'!$A$9:$A$79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H2A'!$D$9:$D$79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'De Levie H2A'!$E$8</c:f>
              <c:strCache>
                <c:ptCount val="1"/>
                <c:pt idx="0">
                  <c:v>a1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H2A'!$A$9:$A$79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H2A'!$E$9:$E$79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'De Levie H2A'!$F$8</c:f>
              <c:strCache>
                <c:ptCount val="1"/>
                <c:pt idx="0">
                  <c:v>a0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H2A'!$A$9:$A$79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H2A'!$F$9:$F$79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'De Levie H2A'!#REF!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H2A'!$A$9:$A$79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'De Levie H2A'!#REF!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4479218"/>
        <c:axId val="18986371"/>
      </c:scatterChart>
      <c:valAx>
        <c:axId val="24479218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86371"/>
        <c:crosses val="autoZero"/>
        <c:crossBetween val="midCat"/>
        <c:dispUnits/>
        <c:majorUnit val="2"/>
      </c:valAx>
      <c:valAx>
        <c:axId val="189863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4479218"/>
        <c:crosses val="autoZero"/>
        <c:crossBetween val="midCat"/>
        <c:dispUnits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75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625"/>
          <c:w val="0.913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 Levie H2A'!$H$9:$H$72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'De Levie H2A'!$A$9:$A$72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1"/>
        </c:ser>
        <c:axId val="36659612"/>
        <c:axId val="61501053"/>
      </c:scatterChart>
      <c:valAx>
        <c:axId val="3665961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01053"/>
        <c:crosses val="autoZero"/>
        <c:crossBetween val="midCat"/>
        <c:dispUnits/>
        <c:majorUnit val="10"/>
      </c:valAx>
      <c:valAx>
        <c:axId val="6150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59612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12</xdr:row>
      <xdr:rowOff>0</xdr:rowOff>
    </xdr:from>
    <xdr:to>
      <xdr:col>17</xdr:col>
      <xdr:colOff>276225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667500" y="2362200"/>
        <a:ext cx="49625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</xdr:row>
      <xdr:rowOff>123825</xdr:rowOff>
    </xdr:from>
    <xdr:to>
      <xdr:col>6</xdr:col>
      <xdr:colOff>295275</xdr:colOff>
      <xdr:row>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219450" y="876300"/>
          <a:ext cx="1438275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7</xdr:row>
      <xdr:rowOff>95250</xdr:rowOff>
    </xdr:from>
    <xdr:to>
      <xdr:col>15</xdr:col>
      <xdr:colOff>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5495925" y="1704975"/>
        <a:ext cx="3829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31</xdr:row>
      <xdr:rowOff>66675</xdr:rowOff>
    </xdr:from>
    <xdr:to>
      <xdr:col>15</xdr:col>
      <xdr:colOff>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5419725" y="5591175"/>
        <a:ext cx="39052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7</xdr:row>
      <xdr:rowOff>66675</xdr:rowOff>
    </xdr:from>
    <xdr:to>
      <xdr:col>11</xdr:col>
      <xdr:colOff>428625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3409950" y="1647825"/>
        <a:ext cx="39052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0.86625</cdr:y>
    </cdr:from>
    <cdr:to>
      <cdr:x>0.882</cdr:x>
      <cdr:y>0.9185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3829050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</a:t>
          </a:r>
        </a:p>
      </cdr:txBody>
    </cdr:sp>
  </cdr:relSizeAnchor>
  <cdr:relSizeAnchor xmlns:cdr="http://schemas.openxmlformats.org/drawingml/2006/chartDrawing">
    <cdr:from>
      <cdr:x>0.26475</cdr:x>
      <cdr:y>0.86625</cdr:y>
    </cdr:from>
    <cdr:to>
      <cdr:x>0.62925</cdr:x>
      <cdr:y>0.9185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3829050"/>
          <a:ext cx="1266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 / 2</a:t>
          </a:r>
        </a:p>
      </cdr:txBody>
    </cdr:sp>
  </cdr:relSizeAnchor>
  <cdr:relSizeAnchor xmlns:cdr="http://schemas.openxmlformats.org/drawingml/2006/chartDrawing">
    <cdr:from>
      <cdr:x>0.00275</cdr:x>
      <cdr:y>0.52175</cdr:y>
    </cdr:from>
    <cdr:to>
      <cdr:x>0.334</cdr:x>
      <cdr:y>0.604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305050"/>
          <a:ext cx="11525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pH </a:t>
          </a:r>
          <a:r>
            <a:rPr lang="en-US" cap="none" sz="14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»</a:t>
          </a: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pK</a:t>
          </a:r>
          <a:r>
            <a:rPr lang="en-US" cap="none" sz="1400" b="1" i="0" u="none" baseline="-2500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14</xdr:row>
      <xdr:rowOff>466725</xdr:rowOff>
    </xdr:from>
    <xdr:to>
      <xdr:col>16</xdr:col>
      <xdr:colOff>9525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7162800" y="3009900"/>
        <a:ext cx="34766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</xdr:row>
      <xdr:rowOff>28575</xdr:rowOff>
    </xdr:from>
    <xdr:to>
      <xdr:col>5</xdr:col>
      <xdr:colOff>400050</xdr:colOff>
      <xdr:row>9</xdr:row>
      <xdr:rowOff>47625</xdr:rowOff>
    </xdr:to>
    <xdr:grpSp>
      <xdr:nvGrpSpPr>
        <xdr:cNvPr id="2" name="Group 4"/>
        <xdr:cNvGrpSpPr>
          <a:grpSpLocks/>
        </xdr:cNvGrpSpPr>
      </xdr:nvGrpSpPr>
      <xdr:grpSpPr>
        <a:xfrm>
          <a:off x="733425" y="781050"/>
          <a:ext cx="2971800" cy="904875"/>
          <a:chOff x="86" y="79"/>
          <a:chExt cx="435" cy="91"/>
        </a:xfrm>
        <a:solidFill>
          <a:srgbClr val="FFFFFF"/>
        </a:solidFill>
      </xdr:grpSpPr>
      <xdr:sp>
        <xdr:nvSpPr>
          <xdr:cNvPr id="3" name="Line 5"/>
          <xdr:cNvSpPr>
            <a:spLocks/>
          </xdr:cNvSpPr>
        </xdr:nvSpPr>
        <xdr:spPr>
          <a:xfrm>
            <a:off x="521" y="79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86" y="99"/>
            <a:ext cx="435" cy="14"/>
          </a:xfrm>
          <a:custGeom>
            <a:pathLst>
              <a:path h="14" w="435">
                <a:moveTo>
                  <a:pt x="0" y="0"/>
                </a:moveTo>
                <a:lnTo>
                  <a:pt x="0" y="14"/>
                </a:lnTo>
                <a:lnTo>
                  <a:pt x="435" y="1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16</xdr:col>
      <xdr:colOff>495300</xdr:colOff>
      <xdr:row>4</xdr:row>
      <xdr:rowOff>47625</xdr:rowOff>
    </xdr:from>
    <xdr:to>
      <xdr:col>20</xdr:col>
      <xdr:colOff>981075</xdr:colOff>
      <xdr:row>42</xdr:row>
      <xdr:rowOff>142875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800100"/>
          <a:ext cx="3000375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0.86625</cdr:y>
    </cdr:from>
    <cdr:to>
      <cdr:x>0.887</cdr:x>
      <cdr:y>0.9185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3829050"/>
          <a:ext cx="619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</a:t>
          </a:r>
        </a:p>
      </cdr:txBody>
    </cdr:sp>
  </cdr:relSizeAnchor>
  <cdr:relSizeAnchor xmlns:cdr="http://schemas.openxmlformats.org/drawingml/2006/chartDrawing">
    <cdr:from>
      <cdr:x>0.30875</cdr:x>
      <cdr:y>0.86625</cdr:y>
    </cdr:from>
    <cdr:to>
      <cdr:x>0.651</cdr:x>
      <cdr:y>0.9185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3829050"/>
          <a:ext cx="1190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p.e. / 2</a:t>
          </a:r>
        </a:p>
      </cdr:txBody>
    </cdr:sp>
  </cdr:relSizeAnchor>
  <cdr:relSizeAnchor xmlns:cdr="http://schemas.openxmlformats.org/drawingml/2006/chartDrawing">
    <cdr:from>
      <cdr:x>0.00475</cdr:x>
      <cdr:y>0.52175</cdr:y>
    </cdr:from>
    <cdr:to>
      <cdr:x>0.374</cdr:x>
      <cdr:y>0.604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305050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pH </a:t>
          </a:r>
          <a:r>
            <a:rPr lang="en-US" cap="none" sz="14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»</a:t>
          </a: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 pK</a:t>
          </a:r>
          <a:r>
            <a:rPr lang="en-US" cap="none" sz="1400" b="1" i="0" u="none" baseline="-2500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14</xdr:row>
      <xdr:rowOff>466725</xdr:rowOff>
    </xdr:from>
    <xdr:to>
      <xdr:col>16</xdr:col>
      <xdr:colOff>9525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7162800" y="3009900"/>
        <a:ext cx="34766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4</xdr:row>
      <xdr:rowOff>28575</xdr:rowOff>
    </xdr:from>
    <xdr:to>
      <xdr:col>5</xdr:col>
      <xdr:colOff>400050</xdr:colOff>
      <xdr:row>9</xdr:row>
      <xdr:rowOff>47625</xdr:rowOff>
    </xdr:to>
    <xdr:grpSp>
      <xdr:nvGrpSpPr>
        <xdr:cNvPr id="2" name="Group 2"/>
        <xdr:cNvGrpSpPr>
          <a:grpSpLocks/>
        </xdr:cNvGrpSpPr>
      </xdr:nvGrpSpPr>
      <xdr:grpSpPr>
        <a:xfrm>
          <a:off x="733425" y="781050"/>
          <a:ext cx="2971800" cy="904875"/>
          <a:chOff x="86" y="79"/>
          <a:chExt cx="435" cy="91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521" y="79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86" y="99"/>
            <a:ext cx="435" cy="14"/>
          </a:xfrm>
          <a:custGeom>
            <a:pathLst>
              <a:path h="14" w="435">
                <a:moveTo>
                  <a:pt x="0" y="0"/>
                </a:moveTo>
                <a:lnTo>
                  <a:pt x="0" y="14"/>
                </a:lnTo>
                <a:lnTo>
                  <a:pt x="435" y="1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16</xdr:col>
      <xdr:colOff>495300</xdr:colOff>
      <xdr:row>4</xdr:row>
      <xdr:rowOff>47625</xdr:rowOff>
    </xdr:from>
    <xdr:to>
      <xdr:col>20</xdr:col>
      <xdr:colOff>981075</xdr:colOff>
      <xdr:row>42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800100"/>
          <a:ext cx="3000375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47625</xdr:rowOff>
    </xdr:from>
    <xdr:to>
      <xdr:col>17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8210550" y="2533650"/>
        <a:ext cx="3705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</xdr:row>
      <xdr:rowOff>123825</xdr:rowOff>
    </xdr:from>
    <xdr:to>
      <xdr:col>8</xdr:col>
      <xdr:colOff>295275</xdr:colOff>
      <xdr:row>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343400" y="914400"/>
          <a:ext cx="1238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295275</xdr:colOff>
      <xdr:row>4</xdr:row>
      <xdr:rowOff>95250</xdr:rowOff>
    </xdr:from>
    <xdr:to>
      <xdr:col>22</xdr:col>
      <xdr:colOff>285750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885825"/>
          <a:ext cx="3038475" cy="741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47625</xdr:rowOff>
    </xdr:from>
    <xdr:to>
      <xdr:col>17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8210550" y="2533650"/>
        <a:ext cx="3705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</xdr:row>
      <xdr:rowOff>123825</xdr:rowOff>
    </xdr:from>
    <xdr:to>
      <xdr:col>8</xdr:col>
      <xdr:colOff>295275</xdr:colOff>
      <xdr:row>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343400" y="914400"/>
          <a:ext cx="1238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295275</xdr:colOff>
      <xdr:row>4</xdr:row>
      <xdr:rowOff>95250</xdr:rowOff>
    </xdr:from>
    <xdr:to>
      <xdr:col>22</xdr:col>
      <xdr:colOff>285750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885825"/>
          <a:ext cx="3038475" cy="741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7</xdr:row>
      <xdr:rowOff>95250</xdr:rowOff>
    </xdr:from>
    <xdr:to>
      <xdr:col>16</xdr:col>
      <xdr:colOff>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400800" y="1390650"/>
        <a:ext cx="3829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31</xdr:row>
      <xdr:rowOff>66675</xdr:rowOff>
    </xdr:from>
    <xdr:to>
      <xdr:col>16</xdr:col>
      <xdr:colOff>0</xdr:colOff>
      <xdr:row>53</xdr:row>
      <xdr:rowOff>104775</xdr:rowOff>
    </xdr:to>
    <xdr:graphicFrame>
      <xdr:nvGraphicFramePr>
        <xdr:cNvPr id="2" name="Chart 3"/>
        <xdr:cNvGraphicFramePr/>
      </xdr:nvGraphicFramePr>
      <xdr:xfrm>
        <a:off x="6324600" y="5276850"/>
        <a:ext cx="39052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7</xdr:row>
      <xdr:rowOff>95250</xdr:rowOff>
    </xdr:from>
    <xdr:to>
      <xdr:col>16</xdr:col>
      <xdr:colOff>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7191375" y="1390650"/>
        <a:ext cx="3829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31</xdr:row>
      <xdr:rowOff>66675</xdr:rowOff>
    </xdr:from>
    <xdr:to>
      <xdr:col>16</xdr:col>
      <xdr:colOff>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7115175" y="5276850"/>
        <a:ext cx="39052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I39" sqref="I39"/>
    </sheetView>
  </sheetViews>
  <sheetFormatPr defaultColWidth="9.140625" defaultRowHeight="12.75"/>
  <cols>
    <col min="1" max="1" width="11.00390625" style="2" customWidth="1"/>
    <col min="2" max="2" width="10.00390625" style="2" customWidth="1"/>
    <col min="3" max="3" width="11.421875" style="2" customWidth="1"/>
    <col min="4" max="4" width="11.57421875" style="0" customWidth="1"/>
    <col min="5" max="5" width="12.57421875" style="0" customWidth="1"/>
    <col min="6" max="6" width="8.8515625" style="0" customWidth="1"/>
    <col min="8" max="8" width="6.421875" style="0" customWidth="1"/>
    <col min="9" max="9" width="17.8515625" style="0" customWidth="1"/>
    <col min="10" max="10" width="7.421875" style="0" customWidth="1"/>
    <col min="11" max="11" width="9.421875" style="0" customWidth="1"/>
    <col min="12" max="12" width="8.8515625" style="0" customWidth="1"/>
  </cols>
  <sheetData>
    <row r="1" ht="18">
      <c r="A1" s="6" t="s">
        <v>39</v>
      </c>
    </row>
    <row r="3" spans="1:7" ht="12.75">
      <c r="A3" s="7" t="s">
        <v>22</v>
      </c>
      <c r="B3" s="8"/>
      <c r="C3" s="9"/>
      <c r="D3" s="2"/>
      <c r="E3" s="16" t="s">
        <v>15</v>
      </c>
      <c r="F3" s="17"/>
      <c r="G3" s="18"/>
    </row>
    <row r="4" spans="1:7" ht="15.75">
      <c r="A4" s="10" t="s">
        <v>6</v>
      </c>
      <c r="B4" s="11">
        <v>0.1</v>
      </c>
      <c r="C4" s="12" t="s">
        <v>17</v>
      </c>
      <c r="D4" s="2"/>
      <c r="E4" s="19" t="s">
        <v>8</v>
      </c>
      <c r="F4" s="20">
        <v>0.1</v>
      </c>
      <c r="G4" s="21" t="s">
        <v>9</v>
      </c>
    </row>
    <row r="5" spans="1:4" ht="15.75">
      <c r="A5" s="13" t="s">
        <v>7</v>
      </c>
      <c r="B5" s="14">
        <v>0.025</v>
      </c>
      <c r="C5" s="15" t="s">
        <v>16</v>
      </c>
      <c r="D5" s="2"/>
    </row>
    <row r="7" spans="1:7" ht="14.25">
      <c r="A7" s="22"/>
      <c r="B7" s="23"/>
      <c r="E7" s="95" t="s">
        <v>0</v>
      </c>
      <c r="F7" s="96">
        <f>B4*B5/F4</f>
        <v>0.025000000000000005</v>
      </c>
      <c r="G7" s="97" t="s">
        <v>12</v>
      </c>
    </row>
    <row r="8" spans="1:5" ht="15.75">
      <c r="A8" s="24" t="s">
        <v>3</v>
      </c>
      <c r="B8" s="25">
        <f>10^-14</f>
        <v>1E-14</v>
      </c>
      <c r="D8" s="5" t="s">
        <v>1</v>
      </c>
      <c r="E8" s="2"/>
    </row>
    <row r="9" spans="1:3" ht="12.75">
      <c r="A9" s="26"/>
      <c r="B9" s="27"/>
      <c r="C9" s="3"/>
    </row>
    <row r="11" spans="1:8" ht="30" customHeight="1">
      <c r="A11" s="64" t="s">
        <v>13</v>
      </c>
      <c r="B11" s="65" t="s">
        <v>18</v>
      </c>
      <c r="C11" s="66" t="s">
        <v>19</v>
      </c>
      <c r="D11" s="44" t="s">
        <v>29</v>
      </c>
      <c r="E11" s="55" t="s">
        <v>30</v>
      </c>
      <c r="F11" s="40" t="s">
        <v>4</v>
      </c>
      <c r="G11" s="48" t="s">
        <v>5</v>
      </c>
      <c r="H11" s="48" t="s">
        <v>2</v>
      </c>
    </row>
    <row r="12" spans="1:9" ht="12.75">
      <c r="A12" s="35">
        <v>0</v>
      </c>
      <c r="B12" s="36">
        <f aca="true" t="shared" si="0" ref="B12:B36">A12/1000</f>
        <v>0</v>
      </c>
      <c r="C12" s="37">
        <f aca="true" t="shared" si="1" ref="C12:C27">B12+$B$5</f>
        <v>0.025</v>
      </c>
      <c r="D12" s="45">
        <f aca="true" t="shared" si="2" ref="D12:D27">($B$4*$B$5-$F$4*B12)/C12</f>
        <v>0.10000000000000002</v>
      </c>
      <c r="E12" s="39"/>
      <c r="F12" s="56">
        <f>D12</f>
        <v>0.10000000000000002</v>
      </c>
      <c r="G12" s="34"/>
      <c r="H12" s="51">
        <f aca="true" t="shared" si="3" ref="H12:H27">-LOG(F12)</f>
        <v>0.9999999999999999</v>
      </c>
      <c r="I12" s="101"/>
    </row>
    <row r="13" spans="1:9" ht="12.75" customHeight="1">
      <c r="A13" s="38">
        <v>2.5</v>
      </c>
      <c r="B13" s="39">
        <f t="shared" si="0"/>
        <v>0.0025</v>
      </c>
      <c r="C13" s="37">
        <f t="shared" si="1"/>
        <v>0.0275</v>
      </c>
      <c r="D13" s="45">
        <f t="shared" si="2"/>
        <v>0.08181818181818183</v>
      </c>
      <c r="E13" s="39"/>
      <c r="F13" s="57">
        <f aca="true" t="shared" si="4" ref="F13:F26">D13</f>
        <v>0.08181818181818183</v>
      </c>
      <c r="G13" s="34"/>
      <c r="H13" s="52">
        <f t="shared" si="3"/>
        <v>1.0871501757189002</v>
      </c>
      <c r="I13" s="102"/>
    </row>
    <row r="14" spans="1:9" ht="12.75">
      <c r="A14" s="38">
        <v>5</v>
      </c>
      <c r="B14" s="39">
        <f t="shared" si="0"/>
        <v>0.005</v>
      </c>
      <c r="C14" s="37">
        <f t="shared" si="1"/>
        <v>0.030000000000000002</v>
      </c>
      <c r="D14" s="45">
        <f t="shared" si="2"/>
        <v>0.06666666666666668</v>
      </c>
      <c r="E14" s="39"/>
      <c r="F14" s="57">
        <f t="shared" si="4"/>
        <v>0.06666666666666668</v>
      </c>
      <c r="G14" s="34"/>
      <c r="H14" s="52">
        <f t="shared" si="3"/>
        <v>1.1760912590556811</v>
      </c>
      <c r="I14" s="102"/>
    </row>
    <row r="15" spans="1:9" ht="12.75">
      <c r="A15" s="38">
        <v>7.5</v>
      </c>
      <c r="B15" s="39">
        <f t="shared" si="0"/>
        <v>0.0075</v>
      </c>
      <c r="C15" s="37">
        <f t="shared" si="1"/>
        <v>0.0325</v>
      </c>
      <c r="D15" s="45">
        <f t="shared" si="2"/>
        <v>0.053846153846153856</v>
      </c>
      <c r="E15" s="39"/>
      <c r="F15" s="57">
        <f t="shared" si="4"/>
        <v>0.053846153846153856</v>
      </c>
      <c r="G15" s="34"/>
      <c r="H15" s="52">
        <f t="shared" si="3"/>
        <v>1.2688453122925798</v>
      </c>
      <c r="I15" s="102"/>
    </row>
    <row r="16" spans="1:9" ht="12.75">
      <c r="A16" s="38">
        <v>10</v>
      </c>
      <c r="B16" s="39">
        <f t="shared" si="0"/>
        <v>0.01</v>
      </c>
      <c r="C16" s="37">
        <f t="shared" si="1"/>
        <v>0.035</v>
      </c>
      <c r="D16" s="45">
        <f t="shared" si="2"/>
        <v>0.042857142857142864</v>
      </c>
      <c r="E16" s="39"/>
      <c r="F16" s="57">
        <f t="shared" si="4"/>
        <v>0.042857142857142864</v>
      </c>
      <c r="G16" s="34"/>
      <c r="H16" s="52">
        <f t="shared" si="3"/>
        <v>1.3679767852945943</v>
      </c>
      <c r="I16" s="102"/>
    </row>
    <row r="17" spans="1:9" ht="12.75">
      <c r="A17" s="35">
        <v>12.5</v>
      </c>
      <c r="B17" s="39">
        <f t="shared" si="0"/>
        <v>0.0125</v>
      </c>
      <c r="C17" s="39">
        <f t="shared" si="1"/>
        <v>0.037500000000000006</v>
      </c>
      <c r="D17" s="45">
        <f t="shared" si="2"/>
        <v>0.03333333333333333</v>
      </c>
      <c r="E17" s="39"/>
      <c r="F17" s="56">
        <f t="shared" si="4"/>
        <v>0.03333333333333333</v>
      </c>
      <c r="G17" s="34"/>
      <c r="H17" s="51">
        <f t="shared" si="3"/>
        <v>1.4771212547196624</v>
      </c>
      <c r="I17" s="102"/>
    </row>
    <row r="18" spans="1:9" ht="12.75">
      <c r="A18" s="38">
        <v>15</v>
      </c>
      <c r="B18" s="39">
        <f t="shared" si="0"/>
        <v>0.015</v>
      </c>
      <c r="C18" s="37">
        <f t="shared" si="1"/>
        <v>0.04</v>
      </c>
      <c r="D18" s="45">
        <f t="shared" si="2"/>
        <v>0.025000000000000012</v>
      </c>
      <c r="E18" s="39"/>
      <c r="F18" s="57">
        <f t="shared" si="4"/>
        <v>0.025000000000000012</v>
      </c>
      <c r="G18" s="34"/>
      <c r="H18" s="52">
        <f t="shared" si="3"/>
        <v>1.6020599913279623</v>
      </c>
      <c r="I18" s="103" t="s">
        <v>23</v>
      </c>
    </row>
    <row r="19" spans="1:9" ht="12.75">
      <c r="A19" s="38">
        <v>17.5</v>
      </c>
      <c r="B19" s="39">
        <f t="shared" si="0"/>
        <v>0.0175</v>
      </c>
      <c r="C19" s="37">
        <f t="shared" si="1"/>
        <v>0.0425</v>
      </c>
      <c r="D19" s="45">
        <f t="shared" si="2"/>
        <v>0.017647058823529415</v>
      </c>
      <c r="E19" s="39"/>
      <c r="F19" s="57">
        <f t="shared" si="4"/>
        <v>0.017647058823529415</v>
      </c>
      <c r="G19" s="34"/>
      <c r="H19" s="52">
        <f t="shared" si="3"/>
        <v>1.7533276666586115</v>
      </c>
      <c r="I19" s="102"/>
    </row>
    <row r="20" spans="1:9" ht="12.75">
      <c r="A20" s="38">
        <v>20</v>
      </c>
      <c r="B20" s="39">
        <f t="shared" si="0"/>
        <v>0.02</v>
      </c>
      <c r="C20" s="37">
        <f t="shared" si="1"/>
        <v>0.045</v>
      </c>
      <c r="D20" s="45">
        <f t="shared" si="2"/>
        <v>0.011111111111111122</v>
      </c>
      <c r="E20" s="39"/>
      <c r="F20" s="57">
        <f t="shared" si="4"/>
        <v>0.011111111111111122</v>
      </c>
      <c r="G20" s="34"/>
      <c r="H20" s="52">
        <f t="shared" si="3"/>
        <v>1.9542425094393245</v>
      </c>
      <c r="I20" s="102"/>
    </row>
    <row r="21" spans="1:9" ht="12.75">
      <c r="A21" s="38">
        <v>22.5</v>
      </c>
      <c r="B21" s="39">
        <f t="shared" si="0"/>
        <v>0.0225</v>
      </c>
      <c r="C21" s="37">
        <f t="shared" si="1"/>
        <v>0.0475</v>
      </c>
      <c r="D21" s="45">
        <f t="shared" si="2"/>
        <v>0.005263157894736856</v>
      </c>
      <c r="E21" s="39"/>
      <c r="F21" s="57">
        <f t="shared" si="4"/>
        <v>0.005263157894736856</v>
      </c>
      <c r="G21" s="34"/>
      <c r="H21" s="52">
        <f t="shared" si="3"/>
        <v>2.278753600952828</v>
      </c>
      <c r="I21" s="102"/>
    </row>
    <row r="22" spans="1:9" ht="12.75">
      <c r="A22" s="38">
        <v>24</v>
      </c>
      <c r="B22" s="39">
        <f t="shared" si="0"/>
        <v>0.024</v>
      </c>
      <c r="C22" s="37">
        <f t="shared" si="1"/>
        <v>0.049</v>
      </c>
      <c r="D22" s="45">
        <f t="shared" si="2"/>
        <v>0.0020408163265306176</v>
      </c>
      <c r="E22" s="39"/>
      <c r="F22" s="57">
        <f t="shared" si="4"/>
        <v>0.0020408163265306176</v>
      </c>
      <c r="G22" s="34"/>
      <c r="H22" s="52">
        <f t="shared" si="3"/>
        <v>2.6901960800285125</v>
      </c>
      <c r="I22" s="102"/>
    </row>
    <row r="23" spans="1:9" ht="12.75">
      <c r="A23" s="38">
        <v>24.5</v>
      </c>
      <c r="B23" s="39">
        <f t="shared" si="0"/>
        <v>0.0245</v>
      </c>
      <c r="C23" s="37">
        <f t="shared" si="1"/>
        <v>0.0495</v>
      </c>
      <c r="D23" s="45">
        <f t="shared" si="2"/>
        <v>0.0010101010101010127</v>
      </c>
      <c r="E23" s="39"/>
      <c r="F23" s="57">
        <f t="shared" si="4"/>
        <v>0.0010101010101010127</v>
      </c>
      <c r="G23" s="34"/>
      <c r="H23" s="52">
        <f t="shared" si="3"/>
        <v>2.995635194597549</v>
      </c>
      <c r="I23" s="102"/>
    </row>
    <row r="24" spans="1:9" ht="12.75">
      <c r="A24" s="38">
        <v>24.7</v>
      </c>
      <c r="B24" s="41">
        <f t="shared" si="0"/>
        <v>0.0247</v>
      </c>
      <c r="C24" s="37">
        <f t="shared" si="1"/>
        <v>0.0497</v>
      </c>
      <c r="D24" s="45">
        <f t="shared" si="2"/>
        <v>0.000603621730382304</v>
      </c>
      <c r="E24" s="39"/>
      <c r="F24" s="57">
        <f t="shared" si="4"/>
        <v>0.000603621730382304</v>
      </c>
      <c r="G24" s="34"/>
      <c r="H24" s="52">
        <f t="shared" si="3"/>
        <v>3.2192351340136622</v>
      </c>
      <c r="I24" s="102"/>
    </row>
    <row r="25" spans="1:9" ht="12.75">
      <c r="A25" s="38">
        <v>24.8</v>
      </c>
      <c r="B25" s="42">
        <f t="shared" si="0"/>
        <v>0.0248</v>
      </c>
      <c r="C25" s="37">
        <f t="shared" si="1"/>
        <v>0.0498</v>
      </c>
      <c r="D25" s="45">
        <f t="shared" si="2"/>
        <v>0.000401606425702821</v>
      </c>
      <c r="E25" s="39"/>
      <c r="F25" s="57">
        <f t="shared" si="4"/>
        <v>0.000401606425702821</v>
      </c>
      <c r="G25" s="34"/>
      <c r="H25" s="52">
        <f t="shared" si="3"/>
        <v>3.3961993470957257</v>
      </c>
      <c r="I25" s="102"/>
    </row>
    <row r="26" spans="1:9" ht="12.75">
      <c r="A26" s="38">
        <v>24.9</v>
      </c>
      <c r="B26" s="42">
        <f t="shared" si="0"/>
        <v>0.0249</v>
      </c>
      <c r="C26" s="37">
        <f t="shared" si="1"/>
        <v>0.0499</v>
      </c>
      <c r="D26" s="45">
        <f t="shared" si="2"/>
        <v>0.00020040080160321563</v>
      </c>
      <c r="E26" s="39"/>
      <c r="F26" s="57">
        <f t="shared" si="4"/>
        <v>0.00020040080160321563</v>
      </c>
      <c r="G26" s="34"/>
      <c r="H26" s="52">
        <f t="shared" si="3"/>
        <v>3.6981005456233698</v>
      </c>
      <c r="I26" s="104"/>
    </row>
    <row r="27" spans="1:12" s="63" customFormat="1" ht="38.25" customHeight="1">
      <c r="A27" s="58">
        <f>B27*1000</f>
        <v>25.000000000000004</v>
      </c>
      <c r="B27" s="59">
        <f>F7</f>
        <v>0.025000000000000005</v>
      </c>
      <c r="C27" s="60">
        <f t="shared" si="1"/>
        <v>0.05</v>
      </c>
      <c r="D27" s="136">
        <f t="shared" si="2"/>
        <v>0</v>
      </c>
      <c r="E27" s="137">
        <f aca="true" t="shared" si="5" ref="E27:E36">($F$4*B27-$B$4*$B$5)/C27</f>
        <v>0</v>
      </c>
      <c r="F27" s="98">
        <f>SQRT(B8)</f>
        <v>1E-07</v>
      </c>
      <c r="G27" s="99">
        <f>SQRT(B8)</f>
        <v>1E-07</v>
      </c>
      <c r="H27" s="61">
        <f t="shared" si="3"/>
        <v>7</v>
      </c>
      <c r="I27" s="100" t="s">
        <v>34</v>
      </c>
      <c r="J27" s="62"/>
      <c r="K27" s="62"/>
      <c r="L27" s="62"/>
    </row>
    <row r="28" spans="1:12" s="1" customFormat="1" ht="12.75">
      <c r="A28" s="38">
        <v>25.1</v>
      </c>
      <c r="B28" s="42">
        <f t="shared" si="0"/>
        <v>0.0251</v>
      </c>
      <c r="C28" s="37">
        <f aca="true" t="shared" si="6" ref="C28:C36">A28/1000+$B$5</f>
        <v>0.050100000000000006</v>
      </c>
      <c r="D28" s="32"/>
      <c r="E28" s="49">
        <f t="shared" si="5"/>
        <v>0.00019960079840318547</v>
      </c>
      <c r="F28" s="32"/>
      <c r="G28" s="46">
        <f aca="true" t="shared" si="7" ref="G28:G36">E28</f>
        <v>0.00019960079840318547</v>
      </c>
      <c r="H28" s="53">
        <f aca="true" t="shared" si="8" ref="H28:H36">14+LOG(G28)</f>
        <v>10.300162274132736</v>
      </c>
      <c r="I28" s="105"/>
      <c r="J28"/>
      <c r="K28"/>
      <c r="L28"/>
    </row>
    <row r="29" spans="1:9" ht="12.75">
      <c r="A29" s="38">
        <v>25.2</v>
      </c>
      <c r="B29" s="42">
        <f t="shared" si="0"/>
        <v>0.0252</v>
      </c>
      <c r="C29" s="37">
        <f t="shared" si="6"/>
        <v>0.0502</v>
      </c>
      <c r="D29" s="32"/>
      <c r="E29" s="49">
        <f t="shared" si="5"/>
        <v>0.0003984063745019844</v>
      </c>
      <c r="F29" s="32"/>
      <c r="G29" s="46">
        <f t="shared" si="7"/>
        <v>0.0003984063745019844</v>
      </c>
      <c r="H29" s="53">
        <f t="shared" si="8"/>
        <v>10.600326278518953</v>
      </c>
      <c r="I29" s="106"/>
    </row>
    <row r="30" spans="1:9" ht="12.75">
      <c r="A30" s="38">
        <v>25.5</v>
      </c>
      <c r="B30" s="41">
        <f t="shared" si="0"/>
        <v>0.0255</v>
      </c>
      <c r="C30" s="37">
        <f t="shared" si="6"/>
        <v>0.0505</v>
      </c>
      <c r="D30" s="32"/>
      <c r="E30" s="49">
        <f t="shared" si="5"/>
        <v>0.000990099009900984</v>
      </c>
      <c r="F30" s="32"/>
      <c r="G30" s="46">
        <f t="shared" si="7"/>
        <v>0.000990099009900984</v>
      </c>
      <c r="H30" s="53">
        <f t="shared" si="8"/>
        <v>10.995678626217355</v>
      </c>
      <c r="I30" s="106"/>
    </row>
    <row r="31" spans="1:9" ht="12.75">
      <c r="A31" s="38">
        <v>26</v>
      </c>
      <c r="B31" s="41">
        <f t="shared" si="0"/>
        <v>0.026</v>
      </c>
      <c r="C31" s="37">
        <f t="shared" si="6"/>
        <v>0.051000000000000004</v>
      </c>
      <c r="D31" s="32"/>
      <c r="E31" s="49">
        <f t="shared" si="5"/>
        <v>0.001960784313725478</v>
      </c>
      <c r="F31" s="32"/>
      <c r="G31" s="46">
        <f t="shared" si="7"/>
        <v>0.001960784313725478</v>
      </c>
      <c r="H31" s="53">
        <f t="shared" si="8"/>
        <v>11.292429823902062</v>
      </c>
      <c r="I31" s="106"/>
    </row>
    <row r="32" spans="1:9" ht="12.75">
      <c r="A32" s="38">
        <v>27</v>
      </c>
      <c r="B32" s="41">
        <f t="shared" si="0"/>
        <v>0.027</v>
      </c>
      <c r="C32" s="37">
        <f t="shared" si="6"/>
        <v>0.052000000000000005</v>
      </c>
      <c r="D32" s="32"/>
      <c r="E32" s="49">
        <f t="shared" si="5"/>
        <v>0.0038461538461538394</v>
      </c>
      <c r="F32" s="32"/>
      <c r="G32" s="46">
        <f t="shared" si="7"/>
        <v>0.0038461538461538394</v>
      </c>
      <c r="H32" s="53">
        <f t="shared" si="8"/>
        <v>11.585026652029182</v>
      </c>
      <c r="I32" s="107" t="s">
        <v>24</v>
      </c>
    </row>
    <row r="33" spans="1:9" ht="12.75">
      <c r="A33" s="38">
        <v>28</v>
      </c>
      <c r="B33" s="41">
        <f t="shared" si="0"/>
        <v>0.028</v>
      </c>
      <c r="C33" s="37">
        <f t="shared" si="6"/>
        <v>0.053000000000000005</v>
      </c>
      <c r="D33" s="32"/>
      <c r="E33" s="49">
        <f t="shared" si="5"/>
        <v>0.005660377358490564</v>
      </c>
      <c r="F33" s="32"/>
      <c r="G33" s="46">
        <f t="shared" si="7"/>
        <v>0.005660377358490564</v>
      </c>
      <c r="H33" s="53">
        <f t="shared" si="8"/>
        <v>11.752845385118874</v>
      </c>
      <c r="I33" s="106"/>
    </row>
    <row r="34" spans="1:9" ht="12.75">
      <c r="A34" s="38">
        <v>29</v>
      </c>
      <c r="B34" s="41">
        <f t="shared" si="0"/>
        <v>0.029</v>
      </c>
      <c r="C34" s="37">
        <f t="shared" si="6"/>
        <v>0.054000000000000006</v>
      </c>
      <c r="D34" s="32"/>
      <c r="E34" s="49">
        <f t="shared" si="5"/>
        <v>0.007407407407407402</v>
      </c>
      <c r="F34" s="32"/>
      <c r="G34" s="46">
        <f t="shared" si="7"/>
        <v>0.007407407407407402</v>
      </c>
      <c r="H34" s="53">
        <f t="shared" si="8"/>
        <v>11.869666231504993</v>
      </c>
      <c r="I34" s="106"/>
    </row>
    <row r="35" spans="1:9" ht="12.75">
      <c r="A35" s="38">
        <v>30</v>
      </c>
      <c r="B35" s="41">
        <f t="shared" si="0"/>
        <v>0.03</v>
      </c>
      <c r="C35" s="37">
        <f t="shared" si="6"/>
        <v>0.055</v>
      </c>
      <c r="D35" s="32"/>
      <c r="E35" s="49">
        <f t="shared" si="5"/>
        <v>0.009090909090909084</v>
      </c>
      <c r="F35" s="32"/>
      <c r="G35" s="46">
        <f t="shared" si="7"/>
        <v>0.009090909090909084</v>
      </c>
      <c r="H35" s="53">
        <f t="shared" si="8"/>
        <v>11.958607314841775</v>
      </c>
      <c r="I35" s="106"/>
    </row>
    <row r="36" spans="1:9" ht="12.75">
      <c r="A36" s="43">
        <v>30</v>
      </c>
      <c r="B36" s="41">
        <f t="shared" si="0"/>
        <v>0.03</v>
      </c>
      <c r="C36" s="37">
        <f t="shared" si="6"/>
        <v>0.055</v>
      </c>
      <c r="D36" s="33"/>
      <c r="E36" s="50">
        <f t="shared" si="5"/>
        <v>0.009090909090909084</v>
      </c>
      <c r="F36" s="33"/>
      <c r="G36" s="47">
        <f t="shared" si="7"/>
        <v>0.009090909090909084</v>
      </c>
      <c r="H36" s="54">
        <f t="shared" si="8"/>
        <v>11.958607314841775</v>
      </c>
      <c r="I36" s="108"/>
    </row>
    <row r="37" ht="12.75">
      <c r="C37" s="4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9.421875" style="2" customWidth="1"/>
    <col min="2" max="2" width="9.140625" style="2" customWidth="1"/>
    <col min="3" max="3" width="9.7109375" style="2" customWidth="1"/>
    <col min="4" max="4" width="10.57421875" style="0" customWidth="1"/>
    <col min="5" max="5" width="10.7109375" style="0" customWidth="1"/>
    <col min="6" max="6" width="10.421875" style="0" customWidth="1"/>
    <col min="7" max="7" width="10.8515625" style="0" customWidth="1"/>
    <col min="8" max="8" width="11.421875" style="0" customWidth="1"/>
    <col min="9" max="9" width="4.8515625" style="0" customWidth="1"/>
    <col min="10" max="10" width="19.140625" style="0" customWidth="1"/>
    <col min="11" max="11" width="7.421875" style="0" customWidth="1"/>
    <col min="12" max="12" width="9.421875" style="0" customWidth="1"/>
    <col min="13" max="13" width="8.8515625" style="0" customWidth="1"/>
    <col min="20" max="20" width="10.28125" style="0" customWidth="1"/>
    <col min="21" max="21" width="16.00390625" style="0" customWidth="1"/>
  </cols>
  <sheetData>
    <row r="1" ht="18">
      <c r="A1" s="6" t="s">
        <v>21</v>
      </c>
    </row>
    <row r="3" spans="1:7" ht="12.75">
      <c r="A3" s="197" t="s">
        <v>14</v>
      </c>
      <c r="B3" s="198"/>
      <c r="C3" s="199"/>
      <c r="D3" s="2"/>
      <c r="E3" s="16" t="s">
        <v>15</v>
      </c>
      <c r="F3" s="17"/>
      <c r="G3" s="18"/>
    </row>
    <row r="4" spans="1:7" ht="15.75">
      <c r="A4" s="200" t="s">
        <v>59</v>
      </c>
      <c r="B4" s="201">
        <v>0.1</v>
      </c>
      <c r="C4" s="202" t="s">
        <v>60</v>
      </c>
      <c r="D4" s="2"/>
      <c r="E4" s="19" t="s">
        <v>8</v>
      </c>
      <c r="F4" s="20">
        <v>0.1</v>
      </c>
      <c r="G4" s="21" t="s">
        <v>9</v>
      </c>
    </row>
    <row r="5" spans="1:4" ht="15.75">
      <c r="A5" s="203" t="s">
        <v>61</v>
      </c>
      <c r="B5" s="204">
        <v>0.025</v>
      </c>
      <c r="C5" s="205" t="s">
        <v>62</v>
      </c>
      <c r="D5" s="2"/>
    </row>
    <row r="6" spans="1:4" ht="12.75">
      <c r="A6" s="210"/>
      <c r="B6" s="201"/>
      <c r="C6" s="198"/>
      <c r="D6" s="215"/>
    </row>
    <row r="7" spans="1:4" ht="12.75">
      <c r="A7" s="211" t="s">
        <v>70</v>
      </c>
      <c r="B7" s="212"/>
      <c r="C7" s="198"/>
      <c r="D7" s="9"/>
    </row>
    <row r="8" spans="1:4" ht="15.75">
      <c r="A8" s="216" t="s">
        <v>71</v>
      </c>
      <c r="B8" s="220">
        <v>0.025</v>
      </c>
      <c r="C8" s="213" t="s">
        <v>73</v>
      </c>
      <c r="D8" s="214"/>
    </row>
    <row r="9" spans="1:4" ht="12.75">
      <c r="A9" s="210"/>
      <c r="B9" s="201"/>
      <c r="C9" s="201"/>
      <c r="D9" s="215"/>
    </row>
    <row r="10" spans="1:2" ht="15.75">
      <c r="A10" s="207" t="s">
        <v>63</v>
      </c>
      <c r="B10" s="219">
        <f>-LOG(B11)</f>
        <v>4.872895201635193</v>
      </c>
    </row>
    <row r="11" spans="1:7" ht="14.25">
      <c r="A11" s="22" t="s">
        <v>10</v>
      </c>
      <c r="B11" s="206">
        <v>1.34E-05</v>
      </c>
      <c r="E11" s="28" t="s">
        <v>0</v>
      </c>
      <c r="F11" s="29">
        <f>B4*B5/F4</f>
        <v>0.025000000000000005</v>
      </c>
      <c r="G11" s="30" t="s">
        <v>12</v>
      </c>
    </row>
    <row r="12" spans="1:5" ht="15.75">
      <c r="A12" s="24" t="s">
        <v>3</v>
      </c>
      <c r="B12" s="25">
        <f>10^-14</f>
        <v>1E-14</v>
      </c>
      <c r="D12" s="5"/>
      <c r="E12" s="2"/>
    </row>
    <row r="13" spans="1:3" ht="12.75">
      <c r="A13" s="26" t="s">
        <v>11</v>
      </c>
      <c r="B13" s="27">
        <f>B12/B11</f>
        <v>7.462686567164179E-10</v>
      </c>
      <c r="C13" s="3"/>
    </row>
    <row r="14" ht="12.75"/>
    <row r="15" spans="1:9" ht="37.5" customHeight="1">
      <c r="A15" s="64" t="s">
        <v>13</v>
      </c>
      <c r="B15" s="65" t="s">
        <v>18</v>
      </c>
      <c r="C15" s="66" t="s">
        <v>72</v>
      </c>
      <c r="D15" s="249" t="s">
        <v>35</v>
      </c>
      <c r="E15" s="153" t="s">
        <v>36</v>
      </c>
      <c r="F15" s="31" t="s">
        <v>37</v>
      </c>
      <c r="G15" s="67" t="s">
        <v>4</v>
      </c>
      <c r="H15" s="67" t="s">
        <v>5</v>
      </c>
      <c r="I15" s="68" t="s">
        <v>2</v>
      </c>
    </row>
    <row r="16" spans="1:10" ht="12.75">
      <c r="A16" s="69">
        <v>0</v>
      </c>
      <c r="B16" s="70">
        <f aca="true" t="shared" si="0" ref="B16:B41">A16/1000</f>
        <v>0</v>
      </c>
      <c r="C16" s="70">
        <f>B16+$B$8+$B$5</f>
        <v>0.05</v>
      </c>
      <c r="D16" s="186">
        <f aca="true" t="shared" si="1" ref="D16:D33">($B$4*$B$5-$F$4*B16)/C16</f>
        <v>0.05000000000000001</v>
      </c>
      <c r="E16" s="188">
        <f aca="true" t="shared" si="2" ref="E16:E41">$F$4*B16/C16</f>
        <v>0</v>
      </c>
      <c r="F16" s="72"/>
      <c r="G16" s="87">
        <f aca="true" t="shared" si="3" ref="G16:G32">(-($B$11+E16)+SQRT(($B$11+E16)^2+4*D16*$B$11))/2</f>
        <v>0.0008118626976597456</v>
      </c>
      <c r="H16" s="71"/>
      <c r="I16" s="251">
        <f aca="true" t="shared" si="4" ref="I16:I33">-LOG(G16)</f>
        <v>3.0905174124961747</v>
      </c>
      <c r="J16" s="252" t="s">
        <v>31</v>
      </c>
    </row>
    <row r="17" spans="1:10" ht="12.75" customHeight="1">
      <c r="A17" s="73">
        <v>0.5</v>
      </c>
      <c r="B17" s="71">
        <f t="shared" si="0"/>
        <v>0.0005</v>
      </c>
      <c r="C17" s="71">
        <f aca="true" t="shared" si="5" ref="C17:C41">B17+$B$8+$B$5</f>
        <v>0.0505</v>
      </c>
      <c r="D17" s="119">
        <f t="shared" si="1"/>
        <v>0.048514851485148516</v>
      </c>
      <c r="E17" s="151">
        <f t="shared" si="2"/>
        <v>0.0009900990099009901</v>
      </c>
      <c r="F17" s="72"/>
      <c r="G17" s="87">
        <f t="shared" si="3"/>
        <v>0.0004479091577378716</v>
      </c>
      <c r="H17" s="71"/>
      <c r="I17" s="248">
        <f t="shared" si="4"/>
        <v>3.348810058085862</v>
      </c>
      <c r="J17" s="253"/>
    </row>
    <row r="18" spans="1:10" ht="12.75" customHeight="1">
      <c r="A18" s="73">
        <v>1</v>
      </c>
      <c r="B18" s="71">
        <f t="shared" si="0"/>
        <v>0.001</v>
      </c>
      <c r="C18" s="71">
        <f t="shared" si="5"/>
        <v>0.051000000000000004</v>
      </c>
      <c r="D18" s="119">
        <f t="shared" si="1"/>
        <v>0.04705882352941177</v>
      </c>
      <c r="E18" s="151">
        <f>$F$4*B18/C18</f>
        <v>0.00196078431372549</v>
      </c>
      <c r="F18" s="72"/>
      <c r="G18" s="87">
        <f t="shared" si="3"/>
        <v>0.0002797697777749896</v>
      </c>
      <c r="H18" s="71"/>
      <c r="I18" s="248">
        <f t="shared" si="4"/>
        <v>3.5531992021188956</v>
      </c>
      <c r="J18" s="253" t="s">
        <v>20</v>
      </c>
    </row>
    <row r="19" spans="1:10" ht="12.75" customHeight="1">
      <c r="A19" s="73">
        <v>2.5</v>
      </c>
      <c r="B19" s="71">
        <f t="shared" si="0"/>
        <v>0.0025</v>
      </c>
      <c r="C19" s="71">
        <f t="shared" si="5"/>
        <v>0.052500000000000005</v>
      </c>
      <c r="D19" s="119">
        <f t="shared" si="1"/>
        <v>0.04285714285714286</v>
      </c>
      <c r="E19" s="151">
        <f>$F$4*B19/C19</f>
        <v>0.0047619047619047615</v>
      </c>
      <c r="F19" s="72"/>
      <c r="G19" s="87">
        <f t="shared" si="3"/>
        <v>0.00011737648246482307</v>
      </c>
      <c r="H19" s="71"/>
      <c r="I19" s="248">
        <f t="shared" si="4"/>
        <v>3.930418909552444</v>
      </c>
      <c r="J19" s="254" t="s">
        <v>25</v>
      </c>
    </row>
    <row r="20" spans="1:10" ht="12.75">
      <c r="A20" s="73">
        <v>5</v>
      </c>
      <c r="B20" s="71">
        <f t="shared" si="0"/>
        <v>0.005</v>
      </c>
      <c r="C20" s="71">
        <f t="shared" si="5"/>
        <v>0.05500000000000001</v>
      </c>
      <c r="D20" s="119">
        <f t="shared" si="1"/>
        <v>0.03636363636363637</v>
      </c>
      <c r="E20" s="151">
        <f t="shared" si="2"/>
        <v>0.00909090909090909</v>
      </c>
      <c r="F20" s="72"/>
      <c r="G20" s="87">
        <f t="shared" si="3"/>
        <v>5.3210123382788944E-05</v>
      </c>
      <c r="H20" s="71"/>
      <c r="I20" s="248">
        <f t="shared" si="4"/>
        <v>4.274005734038964</v>
      </c>
      <c r="J20" s="253" t="s">
        <v>26</v>
      </c>
    </row>
    <row r="21" spans="1:10" ht="12.75">
      <c r="A21" s="73">
        <v>7.5</v>
      </c>
      <c r="B21" s="71">
        <f t="shared" si="0"/>
        <v>0.0075</v>
      </c>
      <c r="C21" s="71">
        <f t="shared" si="5"/>
        <v>0.0575</v>
      </c>
      <c r="D21" s="119">
        <f t="shared" si="1"/>
        <v>0.03043478260869566</v>
      </c>
      <c r="E21" s="151">
        <f t="shared" si="2"/>
        <v>0.013043478260869565</v>
      </c>
      <c r="F21" s="72"/>
      <c r="G21" s="87">
        <f t="shared" si="3"/>
        <v>3.116021455181351E-05</v>
      </c>
      <c r="H21" s="71"/>
      <c r="I21" s="248">
        <f t="shared" si="4"/>
        <v>4.5063995606802205</v>
      </c>
      <c r="J21" s="253" t="s">
        <v>32</v>
      </c>
    </row>
    <row r="22" spans="1:10" ht="13.5" thickBot="1">
      <c r="A22" s="73">
        <v>10</v>
      </c>
      <c r="B22" s="71">
        <f t="shared" si="0"/>
        <v>0.01</v>
      </c>
      <c r="C22" s="71">
        <f t="shared" si="5"/>
        <v>0.060000000000000005</v>
      </c>
      <c r="D22" s="119">
        <f t="shared" si="1"/>
        <v>0.025000000000000005</v>
      </c>
      <c r="E22" s="151">
        <f t="shared" si="2"/>
        <v>0.016666666666666666</v>
      </c>
      <c r="F22" s="72"/>
      <c r="G22" s="87">
        <f t="shared" si="3"/>
        <v>2.00597284161063E-05</v>
      </c>
      <c r="H22" s="71"/>
      <c r="I22" s="248">
        <f t="shared" si="4"/>
        <v>4.697674951085532</v>
      </c>
      <c r="J22" s="255"/>
    </row>
    <row r="23" spans="1:10" ht="13.5" thickBot="1">
      <c r="A23" s="221">
        <f>A33/2</f>
        <v>12.500000000000002</v>
      </c>
      <c r="B23" s="217">
        <f t="shared" si="0"/>
        <v>0.012500000000000002</v>
      </c>
      <c r="C23" s="217">
        <f t="shared" si="5"/>
        <v>0.0625</v>
      </c>
      <c r="D23" s="250">
        <f t="shared" si="1"/>
        <v>0.020000000000000004</v>
      </c>
      <c r="E23" s="222">
        <f t="shared" si="2"/>
        <v>0.020000000000000004</v>
      </c>
      <c r="F23" s="218"/>
      <c r="G23" s="223">
        <f t="shared" si="3"/>
        <v>1.3382080003137078E-05</v>
      </c>
      <c r="H23" s="217"/>
      <c r="I23" s="256">
        <f t="shared" si="4"/>
        <v>4.873476378072108</v>
      </c>
      <c r="J23" s="257" t="s">
        <v>27</v>
      </c>
    </row>
    <row r="24" spans="1:10" ht="13.5" thickBot="1">
      <c r="A24" s="73">
        <v>15</v>
      </c>
      <c r="B24" s="71">
        <f t="shared" si="0"/>
        <v>0.015</v>
      </c>
      <c r="C24" s="71">
        <f t="shared" si="5"/>
        <v>0.065</v>
      </c>
      <c r="D24" s="119">
        <f t="shared" si="1"/>
        <v>0.01538461538461539</v>
      </c>
      <c r="E24" s="151">
        <f t="shared" si="2"/>
        <v>0.023076923076923078</v>
      </c>
      <c r="F24" s="72"/>
      <c r="G24" s="87">
        <f t="shared" si="3"/>
        <v>8.924699546443773E-06</v>
      </c>
      <c r="H24" s="71"/>
      <c r="I24" s="258">
        <f t="shared" si="4"/>
        <v>5.049406395665958</v>
      </c>
      <c r="J24" s="259" t="s">
        <v>33</v>
      </c>
    </row>
    <row r="25" spans="1:10" ht="12.75">
      <c r="A25" s="73">
        <v>17.5</v>
      </c>
      <c r="B25" s="71">
        <f t="shared" si="0"/>
        <v>0.0175</v>
      </c>
      <c r="C25" s="71">
        <f t="shared" si="5"/>
        <v>0.0675</v>
      </c>
      <c r="D25" s="119">
        <f t="shared" si="1"/>
        <v>0.011111111111111113</v>
      </c>
      <c r="E25" s="151">
        <f t="shared" si="2"/>
        <v>0.02592592592592593</v>
      </c>
      <c r="F25" s="72"/>
      <c r="G25" s="87">
        <f t="shared" si="3"/>
        <v>5.738620870276989E-06</v>
      </c>
      <c r="H25" s="71"/>
      <c r="I25" s="248">
        <f t="shared" si="4"/>
        <v>5.2411924665556295</v>
      </c>
      <c r="J25" s="253"/>
    </row>
    <row r="26" spans="1:10" ht="12.75">
      <c r="A26" s="73">
        <v>20</v>
      </c>
      <c r="B26" s="71">
        <f t="shared" si="0"/>
        <v>0.02</v>
      </c>
      <c r="C26" s="71">
        <f t="shared" si="5"/>
        <v>0.07</v>
      </c>
      <c r="D26" s="119">
        <f t="shared" si="1"/>
        <v>0.007142857142857149</v>
      </c>
      <c r="E26" s="151">
        <f t="shared" si="2"/>
        <v>0.02857142857142857</v>
      </c>
      <c r="F26" s="72"/>
      <c r="G26" s="87">
        <f t="shared" si="3"/>
        <v>3.348037443024615E-06</v>
      </c>
      <c r="H26" s="71"/>
      <c r="I26" s="248">
        <f t="shared" si="4"/>
        <v>5.475209693687127</v>
      </c>
      <c r="J26" s="253"/>
    </row>
    <row r="27" spans="1:10" ht="12.75">
      <c r="A27" s="73">
        <v>22.5</v>
      </c>
      <c r="B27" s="71">
        <f t="shared" si="0"/>
        <v>0.0225</v>
      </c>
      <c r="C27" s="71">
        <f t="shared" si="5"/>
        <v>0.07250000000000001</v>
      </c>
      <c r="D27" s="119">
        <f t="shared" si="1"/>
        <v>0.003448275862068974</v>
      </c>
      <c r="E27" s="151">
        <f t="shared" si="2"/>
        <v>0.031034482758620682</v>
      </c>
      <c r="F27" s="72"/>
      <c r="G27" s="87">
        <f t="shared" si="3"/>
        <v>1.4881749665889704E-06</v>
      </c>
      <c r="H27" s="71"/>
      <c r="I27" s="248">
        <f t="shared" si="4"/>
        <v>5.827346005243777</v>
      </c>
      <c r="J27" s="253"/>
    </row>
    <row r="28" spans="1:10" ht="12.75">
      <c r="A28" s="73">
        <v>24</v>
      </c>
      <c r="B28" s="71">
        <f t="shared" si="0"/>
        <v>0.024</v>
      </c>
      <c r="C28" s="71">
        <f t="shared" si="5"/>
        <v>0.07400000000000001</v>
      </c>
      <c r="D28" s="119">
        <f t="shared" si="1"/>
        <v>0.0013513513513513547</v>
      </c>
      <c r="E28" s="151">
        <f t="shared" si="2"/>
        <v>0.032432432432432434</v>
      </c>
      <c r="F28" s="72"/>
      <c r="G28" s="87">
        <f t="shared" si="3"/>
        <v>5.580931442539239E-07</v>
      </c>
      <c r="H28" s="71"/>
      <c r="I28" s="248">
        <f t="shared" si="4"/>
        <v>6.2532933124250665</v>
      </c>
      <c r="J28" s="253"/>
    </row>
    <row r="29" spans="1:10" ht="12.75">
      <c r="A29" s="73">
        <v>24.5</v>
      </c>
      <c r="B29" s="71">
        <f t="shared" si="0"/>
        <v>0.0245</v>
      </c>
      <c r="C29" s="71">
        <f t="shared" si="5"/>
        <v>0.07450000000000001</v>
      </c>
      <c r="D29" s="119">
        <f t="shared" si="1"/>
        <v>0.0006711409395973171</v>
      </c>
      <c r="E29" s="151">
        <f t="shared" si="2"/>
        <v>0.032885906040268455</v>
      </c>
      <c r="F29" s="72"/>
      <c r="G29" s="87">
        <f t="shared" si="3"/>
        <v>2.733557314636703E-07</v>
      </c>
      <c r="H29" s="71"/>
      <c r="I29" s="248">
        <f t="shared" si="4"/>
        <v>6.563271815802239</v>
      </c>
      <c r="J29" s="253"/>
    </row>
    <row r="30" spans="1:10" ht="12.75">
      <c r="A30" s="73">
        <v>24.7</v>
      </c>
      <c r="B30" s="76">
        <f t="shared" si="0"/>
        <v>0.0247</v>
      </c>
      <c r="C30" s="76">
        <f t="shared" si="5"/>
        <v>0.0747</v>
      </c>
      <c r="D30" s="119">
        <f t="shared" si="1"/>
        <v>0.0004016064257028181</v>
      </c>
      <c r="E30" s="151">
        <f t="shared" si="2"/>
        <v>0.033065595716198125</v>
      </c>
      <c r="F30" s="72"/>
      <c r="G30" s="87">
        <f t="shared" si="3"/>
        <v>1.6268630655472127E-07</v>
      </c>
      <c r="H30" s="71"/>
      <c r="I30" s="248">
        <f t="shared" si="4"/>
        <v>6.788649000462018</v>
      </c>
      <c r="J30" s="253"/>
    </row>
    <row r="31" spans="1:10" ht="12.75">
      <c r="A31" s="73">
        <v>24.8</v>
      </c>
      <c r="B31" s="77">
        <f t="shared" si="0"/>
        <v>0.0248</v>
      </c>
      <c r="C31" s="77">
        <f t="shared" si="5"/>
        <v>0.0748</v>
      </c>
      <c r="D31" s="119">
        <f t="shared" si="1"/>
        <v>0.0002673796791443915</v>
      </c>
      <c r="E31" s="151">
        <f t="shared" si="2"/>
        <v>0.03315508021390374</v>
      </c>
      <c r="F31" s="72"/>
      <c r="G31" s="87">
        <f t="shared" si="3"/>
        <v>1.0802050648753281E-07</v>
      </c>
      <c r="H31" s="71"/>
      <c r="I31" s="248">
        <f t="shared" si="4"/>
        <v>6.966493790726137</v>
      </c>
      <c r="J31" s="253"/>
    </row>
    <row r="32" spans="1:10" ht="12.75">
      <c r="A32" s="73">
        <v>24.9</v>
      </c>
      <c r="B32" s="77">
        <f t="shared" si="0"/>
        <v>0.0249</v>
      </c>
      <c r="C32" s="77">
        <f t="shared" si="5"/>
        <v>0.0749</v>
      </c>
      <c r="D32" s="119">
        <f t="shared" si="1"/>
        <v>0.00013351134846462565</v>
      </c>
      <c r="E32" s="151">
        <f t="shared" si="2"/>
        <v>0.03324432576769026</v>
      </c>
      <c r="F32" s="72"/>
      <c r="G32" s="87">
        <f t="shared" si="3"/>
        <v>5.379349111642173E-08</v>
      </c>
      <c r="H32" s="71"/>
      <c r="I32" s="248">
        <f t="shared" si="4"/>
        <v>7.269270269746824</v>
      </c>
      <c r="J32" s="253"/>
    </row>
    <row r="33" spans="1:19" s="116" customFormat="1" ht="30" customHeight="1">
      <c r="A33" s="109">
        <f>B33*1000</f>
        <v>25.000000000000004</v>
      </c>
      <c r="B33" s="110">
        <f>F11</f>
        <v>0.025000000000000005</v>
      </c>
      <c r="C33" s="110">
        <f t="shared" si="5"/>
        <v>0.07500000000000001</v>
      </c>
      <c r="D33" s="149">
        <f t="shared" si="1"/>
        <v>0</v>
      </c>
      <c r="E33" s="154">
        <f>$F$4*B33/C33</f>
        <v>0.03333333333333333</v>
      </c>
      <c r="F33" s="150">
        <f>($B$4*$B$5-$F$4*D33)/E33</f>
        <v>0.07500000000000001</v>
      </c>
      <c r="G33" s="112">
        <f>B12/H33</f>
        <v>2.005143771187332E-09</v>
      </c>
      <c r="H33" s="181">
        <f>(-B13+SQRT(B13^2+4*B13*E33))/2</f>
        <v>4.987173560167492E-06</v>
      </c>
      <c r="I33" s="113">
        <f t="shared" si="4"/>
        <v>8.697854482497771</v>
      </c>
      <c r="J33" s="114" t="s">
        <v>38</v>
      </c>
      <c r="K33" s="115"/>
      <c r="L33" s="115"/>
      <c r="M33" s="115"/>
      <c r="R33" s="224"/>
      <c r="S33" s="224"/>
    </row>
    <row r="34" spans="1:19" s="1" customFormat="1" ht="12.75">
      <c r="A34" s="73">
        <v>25.1</v>
      </c>
      <c r="B34" s="77">
        <f t="shared" si="0"/>
        <v>0.0251</v>
      </c>
      <c r="C34" s="77">
        <f t="shared" si="5"/>
        <v>0.0751</v>
      </c>
      <c r="D34" s="78"/>
      <c r="E34" s="151">
        <f>$B$4*$B$5/C34</f>
        <v>0.03328894806924102</v>
      </c>
      <c r="F34" s="79">
        <f aca="true" t="shared" si="6" ref="F34:F41">($F$4*B34-$B$4*$B$5)/C34</f>
        <v>0.00013315579227695862</v>
      </c>
      <c r="G34" s="71"/>
      <c r="H34" s="87">
        <f aca="true" t="shared" si="7" ref="H34:H41">F34</f>
        <v>0.00013315579227695862</v>
      </c>
      <c r="I34" s="80">
        <f aca="true" t="shared" si="8" ref="I34:I41">14+LOG(H34)</f>
        <v>10.124360062995814</v>
      </c>
      <c r="J34" s="107"/>
      <c r="K34"/>
      <c r="L34"/>
      <c r="M34"/>
      <c r="R34" s="225"/>
      <c r="S34" s="225"/>
    </row>
    <row r="35" spans="1:10" ht="12.75">
      <c r="A35" s="73">
        <v>25.2</v>
      </c>
      <c r="B35" s="77">
        <f t="shared" si="0"/>
        <v>0.0252</v>
      </c>
      <c r="C35" s="77">
        <f t="shared" si="5"/>
        <v>0.0752</v>
      </c>
      <c r="D35" s="78"/>
      <c r="E35" s="151">
        <f aca="true" t="shared" si="9" ref="E35:E41">$B$4*$B$5/C35</f>
        <v>0.033244680851063836</v>
      </c>
      <c r="F35" s="79">
        <f t="shared" si="6"/>
        <v>0.00026595744680850555</v>
      </c>
      <c r="G35" s="71"/>
      <c r="H35" s="87">
        <f t="shared" si="7"/>
        <v>0.00026595744680850555</v>
      </c>
      <c r="I35" s="80">
        <f t="shared" si="8"/>
        <v>10.424812155072331</v>
      </c>
      <c r="J35" s="107"/>
    </row>
    <row r="36" spans="1:10" ht="12.75">
      <c r="A36" s="73">
        <v>25.5</v>
      </c>
      <c r="B36" s="76">
        <f t="shared" si="0"/>
        <v>0.0255</v>
      </c>
      <c r="C36" s="76">
        <f t="shared" si="5"/>
        <v>0.07550000000000001</v>
      </c>
      <c r="D36" s="78"/>
      <c r="E36" s="151">
        <f t="shared" si="9"/>
        <v>0.033112582781456956</v>
      </c>
      <c r="F36" s="79">
        <f t="shared" si="6"/>
        <v>0.000662251655629135</v>
      </c>
      <c r="G36" s="71"/>
      <c r="H36" s="87">
        <f t="shared" si="7"/>
        <v>0.000662251655629135</v>
      </c>
      <c r="I36" s="80">
        <f t="shared" si="8"/>
        <v>10.821023052706828</v>
      </c>
      <c r="J36" s="107" t="s">
        <v>24</v>
      </c>
    </row>
    <row r="37" spans="1:10" ht="12.75">
      <c r="A37" s="73">
        <v>26</v>
      </c>
      <c r="B37" s="76">
        <f t="shared" si="0"/>
        <v>0.026</v>
      </c>
      <c r="C37" s="76">
        <f t="shared" si="5"/>
        <v>0.07600000000000001</v>
      </c>
      <c r="D37" s="78"/>
      <c r="E37" s="151">
        <f t="shared" si="9"/>
        <v>0.03289473684210526</v>
      </c>
      <c r="F37" s="79">
        <f t="shared" si="6"/>
        <v>0.0013157894736842023</v>
      </c>
      <c r="G37" s="71"/>
      <c r="H37" s="87">
        <f t="shared" si="7"/>
        <v>0.0013157894736842023</v>
      </c>
      <c r="I37" s="80">
        <f t="shared" si="8"/>
        <v>11.119186407719205</v>
      </c>
      <c r="J37" s="107" t="s">
        <v>28</v>
      </c>
    </row>
    <row r="38" spans="1:10" ht="12.75">
      <c r="A38" s="73">
        <v>27</v>
      </c>
      <c r="B38" s="76">
        <f t="shared" si="0"/>
        <v>0.027</v>
      </c>
      <c r="C38" s="76">
        <f t="shared" si="5"/>
        <v>0.07700000000000001</v>
      </c>
      <c r="D38" s="78"/>
      <c r="E38" s="151">
        <f t="shared" si="9"/>
        <v>0.03246753246753247</v>
      </c>
      <c r="F38" s="79">
        <f t="shared" si="6"/>
        <v>0.0025974025974025926</v>
      </c>
      <c r="G38" s="71"/>
      <c r="H38" s="87">
        <f t="shared" si="7"/>
        <v>0.0025974025974025926</v>
      </c>
      <c r="I38" s="80">
        <f t="shared" si="8"/>
        <v>11.414539270491499</v>
      </c>
      <c r="J38" s="107"/>
    </row>
    <row r="39" spans="1:10" ht="12.75">
      <c r="A39" s="73">
        <v>30</v>
      </c>
      <c r="B39" s="76">
        <f t="shared" si="0"/>
        <v>0.03</v>
      </c>
      <c r="C39" s="76">
        <f t="shared" si="5"/>
        <v>0.08</v>
      </c>
      <c r="D39" s="78"/>
      <c r="E39" s="151">
        <f t="shared" si="9"/>
        <v>0.03125000000000001</v>
      </c>
      <c r="F39" s="79">
        <f t="shared" si="6"/>
        <v>0.006249999999999994</v>
      </c>
      <c r="G39" s="71"/>
      <c r="H39" s="87">
        <f t="shared" si="7"/>
        <v>0.006249999999999994</v>
      </c>
      <c r="I39" s="80">
        <f t="shared" si="8"/>
        <v>11.795880017344075</v>
      </c>
      <c r="J39" s="107"/>
    </row>
    <row r="40" spans="1:10" ht="12.75">
      <c r="A40" s="73">
        <v>32.5</v>
      </c>
      <c r="B40" s="76">
        <f t="shared" si="0"/>
        <v>0.0325</v>
      </c>
      <c r="C40" s="76">
        <f t="shared" si="5"/>
        <v>0.0825</v>
      </c>
      <c r="D40" s="78"/>
      <c r="E40" s="151">
        <f t="shared" si="9"/>
        <v>0.030303030303030307</v>
      </c>
      <c r="F40" s="79">
        <f t="shared" si="6"/>
        <v>0.009090909090909089</v>
      </c>
      <c r="G40" s="71"/>
      <c r="H40" s="87">
        <f t="shared" si="7"/>
        <v>0.009090909090909089</v>
      </c>
      <c r="I40" s="80">
        <f t="shared" si="8"/>
        <v>11.958607314841775</v>
      </c>
      <c r="J40" s="107"/>
    </row>
    <row r="41" spans="1:10" ht="12.75">
      <c r="A41" s="81">
        <v>35</v>
      </c>
      <c r="B41" s="82">
        <f t="shared" si="0"/>
        <v>0.035</v>
      </c>
      <c r="C41" s="82">
        <f t="shared" si="5"/>
        <v>0.085</v>
      </c>
      <c r="D41" s="84"/>
      <c r="E41" s="151">
        <f t="shared" si="9"/>
        <v>0.029411764705882356</v>
      </c>
      <c r="F41" s="85">
        <f t="shared" si="6"/>
        <v>0.011764705882352941</v>
      </c>
      <c r="G41" s="83"/>
      <c r="H41" s="90">
        <f t="shared" si="7"/>
        <v>0.011764705882352941</v>
      </c>
      <c r="I41" s="86">
        <f t="shared" si="8"/>
        <v>12.070581074285707</v>
      </c>
      <c r="J41" s="196"/>
    </row>
    <row r="42" ht="12.75">
      <c r="C42" s="4"/>
    </row>
    <row r="43" spans="12:16" ht="12.75">
      <c r="L43">
        <v>12.5</v>
      </c>
      <c r="M43">
        <v>0</v>
      </c>
      <c r="O43">
        <v>25</v>
      </c>
      <c r="P43">
        <v>0</v>
      </c>
    </row>
    <row r="44" spans="12:16" ht="12.75">
      <c r="L44">
        <v>12.5</v>
      </c>
      <c r="M44" s="195">
        <v>4.76</v>
      </c>
      <c r="O44">
        <v>25</v>
      </c>
      <c r="P44" s="195">
        <f>I33</f>
        <v>8.697854482497771</v>
      </c>
    </row>
    <row r="46" spans="12:16" ht="12.75">
      <c r="L46">
        <v>0</v>
      </c>
      <c r="M46" s="195">
        <v>4.76</v>
      </c>
      <c r="O46">
        <v>0</v>
      </c>
      <c r="P46" s="195">
        <f>I33</f>
        <v>8.697854482497771</v>
      </c>
    </row>
    <row r="47" spans="12:16" ht="12.75">
      <c r="L47">
        <v>12.5</v>
      </c>
      <c r="M47" s="195">
        <v>4.76</v>
      </c>
      <c r="P47" s="195"/>
    </row>
    <row r="50" spans="18:19" ht="12.75">
      <c r="R50" s="1"/>
      <c r="S50" s="1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J45" sqref="J45"/>
    </sheetView>
  </sheetViews>
  <sheetFormatPr defaultColWidth="9.140625" defaultRowHeight="12.75"/>
  <cols>
    <col min="1" max="1" width="9.421875" style="2" customWidth="1"/>
    <col min="2" max="2" width="9.140625" style="2" customWidth="1"/>
    <col min="3" max="3" width="9.7109375" style="2" customWidth="1"/>
    <col min="4" max="4" width="10.57421875" style="0" customWidth="1"/>
    <col min="5" max="5" width="10.7109375" style="0" customWidth="1"/>
    <col min="6" max="6" width="10.421875" style="0" customWidth="1"/>
    <col min="7" max="7" width="10.8515625" style="0" customWidth="1"/>
    <col min="8" max="8" width="11.421875" style="0" customWidth="1"/>
    <col min="9" max="9" width="4.8515625" style="0" customWidth="1"/>
    <col min="10" max="10" width="19.140625" style="0" customWidth="1"/>
    <col min="11" max="11" width="7.421875" style="0" customWidth="1"/>
    <col min="12" max="12" width="9.421875" style="0" customWidth="1"/>
    <col min="13" max="13" width="8.8515625" style="0" customWidth="1"/>
    <col min="20" max="20" width="10.28125" style="0" customWidth="1"/>
    <col min="21" max="21" width="16.00390625" style="0" customWidth="1"/>
  </cols>
  <sheetData>
    <row r="1" ht="18">
      <c r="A1" s="6" t="s">
        <v>21</v>
      </c>
    </row>
    <row r="3" spans="1:7" ht="12.75">
      <c r="A3" s="197" t="s">
        <v>14</v>
      </c>
      <c r="B3" s="198"/>
      <c r="C3" s="199"/>
      <c r="D3" s="2"/>
      <c r="E3" s="16" t="s">
        <v>15</v>
      </c>
      <c r="F3" s="17"/>
      <c r="G3" s="18"/>
    </row>
    <row r="4" spans="1:7" ht="15.75">
      <c r="A4" s="200" t="s">
        <v>59</v>
      </c>
      <c r="B4" s="201">
        <v>0.1</v>
      </c>
      <c r="C4" s="202" t="s">
        <v>60</v>
      </c>
      <c r="D4" s="2"/>
      <c r="E4" s="19" t="s">
        <v>8</v>
      </c>
      <c r="F4" s="20">
        <v>0.1</v>
      </c>
      <c r="G4" s="21" t="s">
        <v>9</v>
      </c>
    </row>
    <row r="5" spans="1:4" ht="15.75">
      <c r="A5" s="203" t="s">
        <v>61</v>
      </c>
      <c r="B5" s="204">
        <v>0.025</v>
      </c>
      <c r="C5" s="205" t="s">
        <v>62</v>
      </c>
      <c r="D5" s="2"/>
    </row>
    <row r="6" spans="1:4" ht="12.75">
      <c r="A6" s="210"/>
      <c r="B6" s="201"/>
      <c r="C6" s="198"/>
      <c r="D6" s="215"/>
    </row>
    <row r="7" spans="1:4" ht="12.75">
      <c r="A7" s="211" t="s">
        <v>70</v>
      </c>
      <c r="B7" s="212"/>
      <c r="C7" s="198"/>
      <c r="D7" s="9"/>
    </row>
    <row r="8" spans="1:4" ht="15.75">
      <c r="A8" s="216" t="s">
        <v>71</v>
      </c>
      <c r="B8" s="220">
        <v>0.025</v>
      </c>
      <c r="C8" s="213" t="s">
        <v>73</v>
      </c>
      <c r="D8" s="214"/>
    </row>
    <row r="9" spans="1:4" ht="12.75">
      <c r="A9" s="210"/>
      <c r="B9" s="201"/>
      <c r="C9" s="201"/>
      <c r="D9" s="215"/>
    </row>
    <row r="10" spans="1:2" ht="15.75">
      <c r="A10" s="207" t="s">
        <v>63</v>
      </c>
      <c r="B10" s="219">
        <f>-LOG(B11)</f>
        <v>4.872895201635193</v>
      </c>
    </row>
    <row r="11" spans="1:7" ht="14.25">
      <c r="A11" s="22" t="s">
        <v>10</v>
      </c>
      <c r="B11" s="206">
        <v>1.34E-05</v>
      </c>
      <c r="E11" s="28" t="s">
        <v>0</v>
      </c>
      <c r="F11" s="29"/>
      <c r="G11" s="30" t="s">
        <v>12</v>
      </c>
    </row>
    <row r="12" spans="1:5" ht="15.75">
      <c r="A12" s="24" t="s">
        <v>3</v>
      </c>
      <c r="B12" s="25">
        <f>10^-14</f>
        <v>1E-14</v>
      </c>
      <c r="D12" s="5"/>
      <c r="E12" s="2"/>
    </row>
    <row r="13" spans="1:3" ht="12.75">
      <c r="A13" s="26" t="s">
        <v>11</v>
      </c>
      <c r="B13" s="247"/>
      <c r="C13" s="3"/>
    </row>
    <row r="14" ht="12.75"/>
    <row r="15" spans="1:9" ht="37.5" customHeight="1">
      <c r="A15" s="64" t="s">
        <v>13</v>
      </c>
      <c r="B15" s="65" t="s">
        <v>18</v>
      </c>
      <c r="C15" s="66" t="s">
        <v>72</v>
      </c>
      <c r="D15" s="249" t="s">
        <v>35</v>
      </c>
      <c r="E15" s="153" t="s">
        <v>36</v>
      </c>
      <c r="F15" s="31" t="s">
        <v>37</v>
      </c>
      <c r="G15" s="67" t="s">
        <v>4</v>
      </c>
      <c r="H15" s="67" t="s">
        <v>5</v>
      </c>
      <c r="I15" s="68" t="s">
        <v>2</v>
      </c>
    </row>
    <row r="16" spans="1:10" ht="12.75">
      <c r="A16" s="69">
        <v>0</v>
      </c>
      <c r="B16" s="70"/>
      <c r="C16" s="70"/>
      <c r="D16" s="186"/>
      <c r="E16" s="188"/>
      <c r="F16" s="72"/>
      <c r="G16" s="87"/>
      <c r="H16" s="71"/>
      <c r="I16" s="251"/>
      <c r="J16" s="252" t="s">
        <v>31</v>
      </c>
    </row>
    <row r="17" spans="1:10" ht="12.75" customHeight="1">
      <c r="A17" s="73">
        <v>0.5</v>
      </c>
      <c r="B17" s="71"/>
      <c r="C17" s="71"/>
      <c r="D17" s="119"/>
      <c r="E17" s="151"/>
      <c r="F17" s="72"/>
      <c r="G17" s="87"/>
      <c r="H17" s="71"/>
      <c r="I17" s="248"/>
      <c r="J17" s="253"/>
    </row>
    <row r="18" spans="1:10" ht="12.75" customHeight="1">
      <c r="A18" s="73">
        <v>1</v>
      </c>
      <c r="B18" s="71"/>
      <c r="C18" s="71"/>
      <c r="D18" s="119"/>
      <c r="E18" s="151"/>
      <c r="F18" s="72"/>
      <c r="G18" s="87"/>
      <c r="H18" s="71"/>
      <c r="I18" s="248"/>
      <c r="J18" s="253" t="s">
        <v>20</v>
      </c>
    </row>
    <row r="19" spans="1:10" ht="12.75" customHeight="1">
      <c r="A19" s="73">
        <v>2.5</v>
      </c>
      <c r="B19" s="71"/>
      <c r="C19" s="71"/>
      <c r="D19" s="119"/>
      <c r="E19" s="151"/>
      <c r="F19" s="72"/>
      <c r="G19" s="87"/>
      <c r="H19" s="71"/>
      <c r="I19" s="248"/>
      <c r="J19" s="254" t="s">
        <v>25</v>
      </c>
    </row>
    <row r="20" spans="1:10" ht="12.75">
      <c r="A20" s="73">
        <v>5</v>
      </c>
      <c r="B20" s="71"/>
      <c r="C20" s="71"/>
      <c r="D20" s="119"/>
      <c r="E20" s="151"/>
      <c r="F20" s="72"/>
      <c r="G20" s="87"/>
      <c r="H20" s="71"/>
      <c r="I20" s="248"/>
      <c r="J20" s="253" t="s">
        <v>26</v>
      </c>
    </row>
    <row r="21" spans="1:10" ht="12.75">
      <c r="A21" s="73">
        <v>7.5</v>
      </c>
      <c r="B21" s="71"/>
      <c r="C21" s="71"/>
      <c r="D21" s="119"/>
      <c r="E21" s="151"/>
      <c r="F21" s="72"/>
      <c r="G21" s="87"/>
      <c r="H21" s="71"/>
      <c r="I21" s="248"/>
      <c r="J21" s="253" t="s">
        <v>32</v>
      </c>
    </row>
    <row r="22" spans="1:10" ht="13.5" thickBot="1">
      <c r="A22" s="73">
        <v>10</v>
      </c>
      <c r="B22" s="71"/>
      <c r="C22" s="71"/>
      <c r="D22" s="119"/>
      <c r="E22" s="151"/>
      <c r="F22" s="72"/>
      <c r="G22" s="87"/>
      <c r="H22" s="71"/>
      <c r="I22" s="248"/>
      <c r="J22" s="255"/>
    </row>
    <row r="23" spans="1:10" ht="13.5" thickBot="1">
      <c r="A23" s="221">
        <f>A33/2</f>
        <v>0</v>
      </c>
      <c r="B23" s="217"/>
      <c r="C23" s="217"/>
      <c r="D23" s="250"/>
      <c r="E23" s="222"/>
      <c r="F23" s="218"/>
      <c r="G23" s="223"/>
      <c r="H23" s="217"/>
      <c r="I23" s="256"/>
      <c r="J23" s="257" t="s">
        <v>27</v>
      </c>
    </row>
    <row r="24" spans="1:10" ht="13.5" thickBot="1">
      <c r="A24" s="73">
        <v>15</v>
      </c>
      <c r="B24" s="71"/>
      <c r="C24" s="71"/>
      <c r="D24" s="119"/>
      <c r="E24" s="151"/>
      <c r="F24" s="72"/>
      <c r="G24" s="87"/>
      <c r="H24" s="71"/>
      <c r="I24" s="258"/>
      <c r="J24" s="259" t="s">
        <v>33</v>
      </c>
    </row>
    <row r="25" spans="1:10" ht="12.75">
      <c r="A25" s="73">
        <v>17.5</v>
      </c>
      <c r="B25" s="71"/>
      <c r="C25" s="71"/>
      <c r="D25" s="119"/>
      <c r="E25" s="151"/>
      <c r="F25" s="72"/>
      <c r="G25" s="87"/>
      <c r="H25" s="71"/>
      <c r="I25" s="248"/>
      <c r="J25" s="253"/>
    </row>
    <row r="26" spans="1:10" ht="12.75">
      <c r="A26" s="73">
        <v>20</v>
      </c>
      <c r="B26" s="71"/>
      <c r="C26" s="71"/>
      <c r="D26" s="119"/>
      <c r="E26" s="151"/>
      <c r="F26" s="72"/>
      <c r="G26" s="87"/>
      <c r="H26" s="71"/>
      <c r="I26" s="248"/>
      <c r="J26" s="253"/>
    </row>
    <row r="27" spans="1:10" ht="12.75">
      <c r="A27" s="73">
        <v>22.5</v>
      </c>
      <c r="B27" s="71"/>
      <c r="C27" s="71"/>
      <c r="D27" s="119"/>
      <c r="E27" s="151"/>
      <c r="F27" s="72"/>
      <c r="G27" s="87"/>
      <c r="H27" s="71"/>
      <c r="I27" s="248"/>
      <c r="J27" s="253"/>
    </row>
    <row r="28" spans="1:10" ht="12.75">
      <c r="A28" s="73">
        <v>24</v>
      </c>
      <c r="B28" s="71"/>
      <c r="C28" s="71"/>
      <c r="D28" s="119"/>
      <c r="E28" s="151"/>
      <c r="F28" s="72"/>
      <c r="G28" s="87"/>
      <c r="H28" s="71"/>
      <c r="I28" s="248"/>
      <c r="J28" s="253"/>
    </row>
    <row r="29" spans="1:10" ht="12.75">
      <c r="A29" s="73">
        <v>24.5</v>
      </c>
      <c r="B29" s="71"/>
      <c r="C29" s="71"/>
      <c r="D29" s="119"/>
      <c r="E29" s="151"/>
      <c r="F29" s="72"/>
      <c r="G29" s="87"/>
      <c r="H29" s="71"/>
      <c r="I29" s="248"/>
      <c r="J29" s="253"/>
    </row>
    <row r="30" spans="1:10" ht="12.75">
      <c r="A30" s="73">
        <v>24.7</v>
      </c>
      <c r="B30" s="76"/>
      <c r="C30" s="76"/>
      <c r="D30" s="119"/>
      <c r="E30" s="151"/>
      <c r="F30" s="72"/>
      <c r="G30" s="87"/>
      <c r="H30" s="71"/>
      <c r="I30" s="248"/>
      <c r="J30" s="253"/>
    </row>
    <row r="31" spans="1:10" ht="12.75">
      <c r="A31" s="73">
        <v>24.8</v>
      </c>
      <c r="B31" s="77"/>
      <c r="C31" s="77"/>
      <c r="D31" s="119"/>
      <c r="E31" s="151"/>
      <c r="F31" s="72"/>
      <c r="G31" s="87"/>
      <c r="H31" s="71"/>
      <c r="I31" s="248"/>
      <c r="J31" s="253"/>
    </row>
    <row r="32" spans="1:10" ht="12.75">
      <c r="A32" s="73">
        <v>24.9</v>
      </c>
      <c r="B32" s="77"/>
      <c r="C32" s="77"/>
      <c r="D32" s="119"/>
      <c r="E32" s="151"/>
      <c r="F32" s="72"/>
      <c r="G32" s="87"/>
      <c r="H32" s="71"/>
      <c r="I32" s="248"/>
      <c r="J32" s="253"/>
    </row>
    <row r="33" spans="1:19" s="116" customFormat="1" ht="30" customHeight="1">
      <c r="A33" s="109">
        <f>B33*1000</f>
        <v>0</v>
      </c>
      <c r="B33" s="110"/>
      <c r="C33" s="110"/>
      <c r="D33" s="149"/>
      <c r="E33" s="154"/>
      <c r="F33" s="150"/>
      <c r="G33" s="112"/>
      <c r="H33" s="181"/>
      <c r="I33" s="113"/>
      <c r="J33" s="114" t="s">
        <v>38</v>
      </c>
      <c r="K33" s="115"/>
      <c r="L33" s="115"/>
      <c r="M33" s="115"/>
      <c r="R33" s="224"/>
      <c r="S33" s="224"/>
    </row>
    <row r="34" spans="1:19" s="1" customFormat="1" ht="12.75">
      <c r="A34" s="73">
        <v>25.1</v>
      </c>
      <c r="B34" s="77"/>
      <c r="C34" s="77"/>
      <c r="D34" s="78"/>
      <c r="E34" s="151"/>
      <c r="F34" s="79"/>
      <c r="G34" s="71"/>
      <c r="H34" s="87"/>
      <c r="I34" s="80"/>
      <c r="J34" s="107"/>
      <c r="K34"/>
      <c r="L34"/>
      <c r="M34"/>
      <c r="R34" s="225"/>
      <c r="S34" s="225"/>
    </row>
    <row r="35" spans="1:10" ht="12.75">
      <c r="A35" s="73">
        <v>25.2</v>
      </c>
      <c r="B35" s="77"/>
      <c r="C35" s="77"/>
      <c r="D35" s="78"/>
      <c r="E35" s="151"/>
      <c r="F35" s="79"/>
      <c r="G35" s="71"/>
      <c r="H35" s="87"/>
      <c r="I35" s="80"/>
      <c r="J35" s="107"/>
    </row>
    <row r="36" spans="1:10" ht="12.75">
      <c r="A36" s="73">
        <v>25.5</v>
      </c>
      <c r="B36" s="76"/>
      <c r="C36" s="76"/>
      <c r="D36" s="78"/>
      <c r="E36" s="151"/>
      <c r="F36" s="79"/>
      <c r="G36" s="71"/>
      <c r="H36" s="87"/>
      <c r="I36" s="80"/>
      <c r="J36" s="107" t="s">
        <v>24</v>
      </c>
    </row>
    <row r="37" spans="1:10" ht="12.75">
      <c r="A37" s="73">
        <v>26</v>
      </c>
      <c r="B37" s="76"/>
      <c r="C37" s="76"/>
      <c r="D37" s="78"/>
      <c r="E37" s="151"/>
      <c r="F37" s="79"/>
      <c r="G37" s="71"/>
      <c r="H37" s="87"/>
      <c r="I37" s="80"/>
      <c r="J37" s="107" t="s">
        <v>28</v>
      </c>
    </row>
    <row r="38" spans="1:10" ht="12.75">
      <c r="A38" s="73">
        <v>27</v>
      </c>
      <c r="B38" s="76"/>
      <c r="C38" s="76"/>
      <c r="D38" s="78"/>
      <c r="E38" s="151"/>
      <c r="F38" s="79"/>
      <c r="G38" s="71"/>
      <c r="H38" s="87"/>
      <c r="I38" s="80"/>
      <c r="J38" s="107"/>
    </row>
    <row r="39" spans="1:10" ht="12.75">
      <c r="A39" s="73">
        <v>30</v>
      </c>
      <c r="B39" s="76"/>
      <c r="C39" s="76"/>
      <c r="D39" s="78"/>
      <c r="E39" s="151"/>
      <c r="F39" s="79"/>
      <c r="G39" s="71"/>
      <c r="H39" s="87"/>
      <c r="I39" s="80"/>
      <c r="J39" s="107"/>
    </row>
    <row r="40" spans="1:10" ht="12.75">
      <c r="A40" s="73">
        <v>32.5</v>
      </c>
      <c r="B40" s="76"/>
      <c r="C40" s="76"/>
      <c r="D40" s="78"/>
      <c r="E40" s="151"/>
      <c r="F40" s="79"/>
      <c r="G40" s="71"/>
      <c r="H40" s="87"/>
      <c r="I40" s="80"/>
      <c r="J40" s="107"/>
    </row>
    <row r="41" spans="1:10" ht="12.75">
      <c r="A41" s="81">
        <v>35</v>
      </c>
      <c r="B41" s="82"/>
      <c r="C41" s="82"/>
      <c r="D41" s="84"/>
      <c r="E41" s="152"/>
      <c r="F41" s="85"/>
      <c r="G41" s="83"/>
      <c r="H41" s="90"/>
      <c r="I41" s="86"/>
      <c r="J41" s="196"/>
    </row>
    <row r="42" ht="12.75">
      <c r="C42" s="4"/>
    </row>
    <row r="43" spans="12:16" ht="12.75">
      <c r="L43">
        <v>12.5</v>
      </c>
      <c r="M43">
        <v>0</v>
      </c>
      <c r="O43">
        <v>25</v>
      </c>
      <c r="P43">
        <v>0</v>
      </c>
    </row>
    <row r="44" spans="12:16" ht="12.75">
      <c r="L44">
        <v>12.5</v>
      </c>
      <c r="M44" s="195">
        <v>4.76</v>
      </c>
      <c r="O44">
        <v>25</v>
      </c>
      <c r="P44" s="195">
        <f>I33</f>
        <v>0</v>
      </c>
    </row>
    <row r="46" spans="12:16" ht="12.75">
      <c r="L46">
        <v>0</v>
      </c>
      <c r="M46" s="195">
        <v>4.76</v>
      </c>
      <c r="O46">
        <v>0</v>
      </c>
      <c r="P46" s="195">
        <f>I33</f>
        <v>0</v>
      </c>
    </row>
    <row r="47" spans="12:16" ht="12.75">
      <c r="L47">
        <v>12.5</v>
      </c>
      <c r="M47" s="195">
        <v>4.76</v>
      </c>
      <c r="P47" s="195"/>
    </row>
    <row r="50" spans="18:19" ht="12.75">
      <c r="R50" s="1"/>
      <c r="S50" s="1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7">
      <selection activeCell="F48" sqref="F48"/>
    </sheetView>
  </sheetViews>
  <sheetFormatPr defaultColWidth="9.140625" defaultRowHeight="12.75"/>
  <cols>
    <col min="1" max="1" width="8.00390625" style="2" customWidth="1"/>
    <col min="2" max="2" width="10.140625" style="2" customWidth="1"/>
    <col min="3" max="3" width="9.421875" style="2" customWidth="1"/>
    <col min="4" max="4" width="11.140625" style="0" customWidth="1"/>
    <col min="5" max="5" width="11.00390625" style="0" customWidth="1"/>
    <col min="6" max="6" width="11.140625" style="0" customWidth="1"/>
    <col min="7" max="7" width="10.8515625" style="0" customWidth="1"/>
    <col min="8" max="8" width="7.57421875" style="0" customWidth="1"/>
    <col min="9" max="9" width="9.7109375" style="0" customWidth="1"/>
    <col min="10" max="10" width="6.8515625" style="0" customWidth="1"/>
    <col min="11" max="11" width="26.00390625" style="0" customWidth="1"/>
    <col min="12" max="12" width="9.421875" style="0" customWidth="1"/>
    <col min="13" max="13" width="8.8515625" style="0" customWidth="1"/>
  </cols>
  <sheetData>
    <row r="1" ht="21">
      <c r="A1" s="6" t="s">
        <v>40</v>
      </c>
    </row>
    <row r="3" spans="1:9" ht="12.75">
      <c r="A3" s="7" t="s">
        <v>14</v>
      </c>
      <c r="B3" s="8"/>
      <c r="C3" s="9"/>
      <c r="F3" s="2"/>
      <c r="G3" s="16" t="s">
        <v>15</v>
      </c>
      <c r="H3" s="17"/>
      <c r="I3" s="18"/>
    </row>
    <row r="4" spans="1:9" ht="15.75">
      <c r="A4" s="10" t="s">
        <v>6</v>
      </c>
      <c r="B4" s="11">
        <v>0.1</v>
      </c>
      <c r="C4" s="12" t="s">
        <v>17</v>
      </c>
      <c r="F4" s="2"/>
      <c r="G4" s="19" t="s">
        <v>8</v>
      </c>
      <c r="H4" s="20">
        <v>0.1</v>
      </c>
      <c r="I4" s="21" t="s">
        <v>9</v>
      </c>
    </row>
    <row r="5" spans="1:6" ht="15.75">
      <c r="A5" s="13" t="s">
        <v>7</v>
      </c>
      <c r="B5" s="14">
        <v>0.012</v>
      </c>
      <c r="C5" s="15" t="s">
        <v>16</v>
      </c>
      <c r="F5" s="2"/>
    </row>
    <row r="6" ht="12.75"/>
    <row r="7" spans="1:9" ht="14.25">
      <c r="A7" s="22" t="s">
        <v>10</v>
      </c>
      <c r="B7" s="23">
        <v>0.00142</v>
      </c>
      <c r="C7" s="22" t="s">
        <v>10</v>
      </c>
      <c r="D7" s="120">
        <v>2.01E-06</v>
      </c>
      <c r="G7" s="121" t="s">
        <v>42</v>
      </c>
      <c r="H7" s="122">
        <f>B4*B5/H4</f>
        <v>0.012</v>
      </c>
      <c r="I7" s="123" t="s">
        <v>12</v>
      </c>
    </row>
    <row r="8" spans="1:9" ht="15.75">
      <c r="A8" s="24" t="s">
        <v>3</v>
      </c>
      <c r="B8" s="25">
        <f>10^-14</f>
        <v>1E-14</v>
      </c>
      <c r="C8" s="24" t="s">
        <v>3</v>
      </c>
      <c r="D8" s="25">
        <f>10^-14</f>
        <v>1E-14</v>
      </c>
      <c r="G8" s="28" t="s">
        <v>42</v>
      </c>
      <c r="H8" s="29">
        <f>H7*2</f>
        <v>0.024</v>
      </c>
      <c r="I8" s="30" t="s">
        <v>12</v>
      </c>
    </row>
    <row r="9" spans="1:7" ht="12.75">
      <c r="A9" s="26" t="s">
        <v>11</v>
      </c>
      <c r="B9" s="27">
        <f>B8/B7</f>
        <v>7.04225352112676E-12</v>
      </c>
      <c r="C9" s="26" t="s">
        <v>11</v>
      </c>
      <c r="D9" s="27">
        <f>D8/D7</f>
        <v>4.975124378109453E-09</v>
      </c>
      <c r="F9" s="5" t="s">
        <v>1</v>
      </c>
      <c r="G9" s="2"/>
    </row>
    <row r="10" ht="12.75"/>
    <row r="11" spans="1:10" s="129" customFormat="1" ht="33.75" customHeight="1">
      <c r="A11" s="124" t="s">
        <v>13</v>
      </c>
      <c r="B11" s="125" t="s">
        <v>18</v>
      </c>
      <c r="C11" s="126" t="s">
        <v>57</v>
      </c>
      <c r="D11" s="127" t="s">
        <v>43</v>
      </c>
      <c r="E11" s="131" t="s">
        <v>44</v>
      </c>
      <c r="F11" s="130" t="s">
        <v>45</v>
      </c>
      <c r="G11" s="143" t="s">
        <v>37</v>
      </c>
      <c r="H11" s="128" t="s">
        <v>4</v>
      </c>
      <c r="I11" s="128" t="s">
        <v>5</v>
      </c>
      <c r="J11" s="155" t="s">
        <v>2</v>
      </c>
    </row>
    <row r="12" spans="1:11" ht="15.75">
      <c r="A12" s="69">
        <v>0</v>
      </c>
      <c r="B12" s="70">
        <f aca="true" t="shared" si="0" ref="B12:B37">A12/1000</f>
        <v>0</v>
      </c>
      <c r="C12" s="71">
        <f aca="true" t="shared" si="1" ref="C12:C21">B12+$B$5</f>
        <v>0.012</v>
      </c>
      <c r="D12" s="186">
        <f aca="true" t="shared" si="2" ref="D12:D21">($B$4*$B$5-$H$4*B12)/C12</f>
        <v>0.1</v>
      </c>
      <c r="E12" s="187">
        <f aca="true" t="shared" si="3" ref="E12:E21">$H$4*B12/C12</f>
        <v>0</v>
      </c>
      <c r="F12" s="173"/>
      <c r="G12" s="144"/>
      <c r="H12" s="87">
        <f aca="true" t="shared" si="4" ref="H12:H20">(-($B$7+E12)+SQRT(($B$7+E12)^2+4*D12*$B$7))/2</f>
        <v>0.011227508115180487</v>
      </c>
      <c r="I12" s="71"/>
      <c r="J12" s="156">
        <f aca="true" t="shared" si="5" ref="J12:J22">-LOG(H12)</f>
        <v>1.9497166223594955</v>
      </c>
      <c r="K12" s="157" t="s">
        <v>46</v>
      </c>
    </row>
    <row r="13" spans="1:11" ht="12.75" customHeight="1">
      <c r="A13" s="73">
        <v>1.5</v>
      </c>
      <c r="B13" s="71">
        <f t="shared" si="0"/>
        <v>0.0015</v>
      </c>
      <c r="C13" s="71">
        <f t="shared" si="1"/>
        <v>0.0135</v>
      </c>
      <c r="D13" s="119">
        <f t="shared" si="2"/>
        <v>0.07777777777777779</v>
      </c>
      <c r="E13" s="132">
        <f t="shared" si="3"/>
        <v>0.011111111111111112</v>
      </c>
      <c r="F13" s="173"/>
      <c r="G13" s="144"/>
      <c r="H13" s="87">
        <f t="shared" si="4"/>
        <v>0.005969706226041009</v>
      </c>
      <c r="I13" s="71"/>
      <c r="J13" s="158">
        <f t="shared" si="5"/>
        <v>2.224047040319296</v>
      </c>
      <c r="K13" s="159" t="s">
        <v>47</v>
      </c>
    </row>
    <row r="14" spans="1:11" ht="12.75" customHeight="1">
      <c r="A14" s="73">
        <v>3</v>
      </c>
      <c r="B14" s="71">
        <f t="shared" si="0"/>
        <v>0.003</v>
      </c>
      <c r="C14" s="71">
        <f t="shared" si="1"/>
        <v>0.015</v>
      </c>
      <c r="D14" s="119">
        <f t="shared" si="2"/>
        <v>0.060000000000000005</v>
      </c>
      <c r="E14" s="132">
        <f t="shared" si="3"/>
        <v>0.020000000000000004</v>
      </c>
      <c r="F14" s="173"/>
      <c r="G14" s="144"/>
      <c r="H14" s="87">
        <f t="shared" si="4"/>
        <v>0.003428744640172267</v>
      </c>
      <c r="I14" s="71"/>
      <c r="J14" s="91">
        <f t="shared" si="5"/>
        <v>2.464864858277805</v>
      </c>
      <c r="K14" s="160" t="s">
        <v>48</v>
      </c>
    </row>
    <row r="15" spans="1:11" ht="12.75">
      <c r="A15" s="73">
        <v>4.5</v>
      </c>
      <c r="B15" s="71">
        <f t="shared" si="0"/>
        <v>0.0045</v>
      </c>
      <c r="C15" s="71">
        <f t="shared" si="1"/>
        <v>0.0165</v>
      </c>
      <c r="D15" s="119">
        <f t="shared" si="2"/>
        <v>0.04545454545454546</v>
      </c>
      <c r="E15" s="132">
        <f t="shared" si="3"/>
        <v>0.02727272727272727</v>
      </c>
      <c r="F15" s="173"/>
      <c r="G15" s="144"/>
      <c r="H15" s="87">
        <f t="shared" si="4"/>
        <v>0.002096373487735604</v>
      </c>
      <c r="I15" s="71"/>
      <c r="J15" s="91">
        <f t="shared" si="5"/>
        <v>2.678531341338714</v>
      </c>
      <c r="K15" s="161" t="s">
        <v>41</v>
      </c>
    </row>
    <row r="16" spans="1:11" ht="12.75">
      <c r="A16" s="74">
        <f>A21/2</f>
        <v>6</v>
      </c>
      <c r="B16" s="75">
        <f t="shared" si="0"/>
        <v>0.006</v>
      </c>
      <c r="C16" s="75">
        <f t="shared" si="1"/>
        <v>0.018000000000000002</v>
      </c>
      <c r="D16" s="182">
        <f t="shared" si="2"/>
        <v>0.03333333333333333</v>
      </c>
      <c r="E16" s="183">
        <f t="shared" si="3"/>
        <v>0.03333333333333333</v>
      </c>
      <c r="F16" s="135"/>
      <c r="G16" s="145"/>
      <c r="H16" s="89">
        <f t="shared" si="4"/>
        <v>0.0013124177886451524</v>
      </c>
      <c r="I16" s="75"/>
      <c r="J16" s="92">
        <f t="shared" si="5"/>
        <v>2.8819278917741995</v>
      </c>
      <c r="K16" s="93" t="s">
        <v>51</v>
      </c>
    </row>
    <row r="17" spans="1:11" ht="15.75">
      <c r="A17" s="73">
        <v>7.5</v>
      </c>
      <c r="B17" s="71">
        <f t="shared" si="0"/>
        <v>0.0075</v>
      </c>
      <c r="C17" s="71">
        <f t="shared" si="1"/>
        <v>0.0195</v>
      </c>
      <c r="D17" s="119">
        <f t="shared" si="2"/>
        <v>0.02307692307692308</v>
      </c>
      <c r="E17" s="132">
        <f t="shared" si="3"/>
        <v>0.038461538461538464</v>
      </c>
      <c r="F17" s="173"/>
      <c r="G17" s="144"/>
      <c r="H17" s="87">
        <f t="shared" si="4"/>
        <v>0.000805399289804002</v>
      </c>
      <c r="I17" s="71"/>
      <c r="J17" s="91">
        <f t="shared" si="5"/>
        <v>3.0939887576865446</v>
      </c>
      <c r="K17" s="94" t="s">
        <v>49</v>
      </c>
    </row>
    <row r="18" spans="1:11" ht="12.75">
      <c r="A18" s="73">
        <v>9</v>
      </c>
      <c r="B18" s="71">
        <f t="shared" si="0"/>
        <v>0.009</v>
      </c>
      <c r="C18" s="71">
        <f t="shared" si="1"/>
        <v>0.020999999999999998</v>
      </c>
      <c r="D18" s="119">
        <f t="shared" si="2"/>
        <v>0.014285714285714294</v>
      </c>
      <c r="E18" s="132">
        <f t="shared" si="3"/>
        <v>0.04285714285714286</v>
      </c>
      <c r="F18" s="173"/>
      <c r="G18" s="144"/>
      <c r="H18" s="87">
        <f t="shared" si="4"/>
        <v>0.00045350813891579037</v>
      </c>
      <c r="I18" s="71"/>
      <c r="J18" s="91">
        <f t="shared" si="5"/>
        <v>3.3434149144374063</v>
      </c>
      <c r="K18" s="161"/>
    </row>
    <row r="19" spans="1:11" ht="12.75">
      <c r="A19" s="73">
        <v>10</v>
      </c>
      <c r="B19" s="71">
        <f t="shared" si="0"/>
        <v>0.01</v>
      </c>
      <c r="C19" s="71">
        <f t="shared" si="1"/>
        <v>0.022</v>
      </c>
      <c r="D19" s="119">
        <f t="shared" si="2"/>
        <v>0.009090909090909096</v>
      </c>
      <c r="E19" s="132">
        <f t="shared" si="3"/>
        <v>0.045454545454545456</v>
      </c>
      <c r="F19" s="173"/>
      <c r="G19" s="144"/>
      <c r="H19" s="87">
        <f t="shared" si="4"/>
        <v>0.0002737973414030613</v>
      </c>
      <c r="I19" s="71"/>
      <c r="J19" s="91">
        <f t="shared" si="5"/>
        <v>3.5625707732202385</v>
      </c>
      <c r="K19" s="161"/>
    </row>
    <row r="20" spans="1:11" ht="12.75">
      <c r="A20" s="73">
        <v>11</v>
      </c>
      <c r="B20" s="71">
        <f t="shared" si="0"/>
        <v>0.011</v>
      </c>
      <c r="C20" s="71">
        <f t="shared" si="1"/>
        <v>0.023</v>
      </c>
      <c r="D20" s="119">
        <f t="shared" si="2"/>
        <v>0.0043478260869565235</v>
      </c>
      <c r="E20" s="132">
        <f t="shared" si="3"/>
        <v>0.04782608695652174</v>
      </c>
      <c r="F20" s="173"/>
      <c r="G20" s="144"/>
      <c r="H20" s="87">
        <f t="shared" si="4"/>
        <v>0.00012505105800198618</v>
      </c>
      <c r="I20" s="71"/>
      <c r="J20" s="162">
        <f t="shared" si="5"/>
        <v>3.902912629543389</v>
      </c>
      <c r="K20" s="163"/>
    </row>
    <row r="21" spans="1:13" s="116" customFormat="1" ht="30" customHeight="1">
      <c r="A21" s="109">
        <f>B21*1000</f>
        <v>12</v>
      </c>
      <c r="B21" s="110">
        <f>H7</f>
        <v>0.012</v>
      </c>
      <c r="C21" s="111">
        <f t="shared" si="1"/>
        <v>0.024</v>
      </c>
      <c r="D21" s="149">
        <f t="shared" si="2"/>
        <v>0</v>
      </c>
      <c r="E21" s="133">
        <f t="shared" si="3"/>
        <v>0.05</v>
      </c>
      <c r="F21" s="140">
        <f>($H$4*B21-$B$4*$B$5)/C21</f>
        <v>0</v>
      </c>
      <c r="G21" s="146"/>
      <c r="H21" s="112">
        <f>SQRT(B7*D7)</f>
        <v>5.342471338247871E-05</v>
      </c>
      <c r="I21" s="181">
        <f>(-B9+SQRT(B9^2+4*B9*E21))/2</f>
        <v>5.933873079806131E-07</v>
      </c>
      <c r="J21" s="141">
        <f t="shared" si="5"/>
        <v>4.272257799098227</v>
      </c>
      <c r="K21" s="134" t="s">
        <v>50</v>
      </c>
      <c r="L21" s="115"/>
      <c r="M21" s="115"/>
    </row>
    <row r="22" spans="1:13" s="1" customFormat="1" ht="15">
      <c r="A22" s="73">
        <v>13</v>
      </c>
      <c r="B22" s="77">
        <f t="shared" si="0"/>
        <v>0.013</v>
      </c>
      <c r="C22" s="71">
        <f aca="true" t="shared" si="6" ref="C22:C37">A22/1000+$B$5</f>
        <v>0.025</v>
      </c>
      <c r="D22" s="78"/>
      <c r="E22" s="132">
        <f>($B$4*$B$5-(B22-$B$21)*$H$4)/C22</f>
        <v>0.04400000000000001</v>
      </c>
      <c r="F22" s="117">
        <f>($H$4*B22-$B$4*$B$5)/C22</f>
        <v>0.003999999999999993</v>
      </c>
      <c r="G22" s="147"/>
      <c r="H22" s="87">
        <f>$B$8/I22</f>
        <v>2.2110002773869455E-05</v>
      </c>
      <c r="I22" s="87">
        <f>(-($D$9+E22)+SQRT(($D$9+E22)^2+4*$D$9*F22))/2</f>
        <v>4.5228397763108497E-10</v>
      </c>
      <c r="J22" s="260">
        <f t="shared" si="5"/>
        <v>4.655411202935708</v>
      </c>
      <c r="K22" s="261" t="s">
        <v>52</v>
      </c>
      <c r="L22"/>
      <c r="M22"/>
    </row>
    <row r="23" spans="1:11" ht="15">
      <c r="A23" s="73">
        <v>14.5</v>
      </c>
      <c r="B23" s="77">
        <f t="shared" si="0"/>
        <v>0.0145</v>
      </c>
      <c r="C23" s="71">
        <f t="shared" si="6"/>
        <v>0.026500000000000003</v>
      </c>
      <c r="D23" s="78"/>
      <c r="E23" s="132">
        <f aca="true" t="shared" si="7" ref="E23:E31">($B$4*$B$5-(B23-$B$21)*$H$4)/C23</f>
        <v>0.035849056603773584</v>
      </c>
      <c r="F23" s="117">
        <f aca="true" t="shared" si="8" ref="F23:F30">($H$4*B23-$B$4*$B$5)/C23</f>
        <v>0.009433962264150943</v>
      </c>
      <c r="G23" s="147"/>
      <c r="H23" s="87">
        <f aca="true" t="shared" si="9" ref="H23:H31">$B$8/I23</f>
        <v>7.638001347075086E-06</v>
      </c>
      <c r="I23" s="87">
        <f aca="true" t="shared" si="10" ref="I23:I30">(-($D$9+E23)+SQRT(($D$9+E23)^2+4*$D$9*F23))/2</f>
        <v>1.3092430264927124E-09</v>
      </c>
      <c r="J23" s="262">
        <f aca="true" t="shared" si="11" ref="J23:J37">-LOG(H23)</f>
        <v>5.117020269368406</v>
      </c>
      <c r="K23" s="263" t="s">
        <v>53</v>
      </c>
    </row>
    <row r="24" spans="1:11" ht="12.75">
      <c r="A24" s="73">
        <v>16</v>
      </c>
      <c r="B24" s="76">
        <f t="shared" si="0"/>
        <v>0.016</v>
      </c>
      <c r="C24" s="71">
        <f t="shared" si="6"/>
        <v>0.028</v>
      </c>
      <c r="D24" s="78"/>
      <c r="E24" s="132">
        <f t="shared" si="7"/>
        <v>0.028571428571428577</v>
      </c>
      <c r="F24" s="117">
        <f t="shared" si="8"/>
        <v>0.014285714285714284</v>
      </c>
      <c r="G24" s="147"/>
      <c r="H24" s="87">
        <f t="shared" si="9"/>
        <v>4.020001050999705E-06</v>
      </c>
      <c r="I24" s="87">
        <f t="shared" si="10"/>
        <v>2.4875615386998895E-09</v>
      </c>
      <c r="J24" s="262">
        <f t="shared" si="11"/>
        <v>5.3957738333724174</v>
      </c>
      <c r="K24" s="264" t="s">
        <v>54</v>
      </c>
    </row>
    <row r="25" spans="1:11" ht="12.75">
      <c r="A25" s="246">
        <f>A21+(A31-A21)/2</f>
        <v>18</v>
      </c>
      <c r="B25" s="138">
        <f t="shared" si="0"/>
        <v>0.018</v>
      </c>
      <c r="C25" s="75">
        <f t="shared" si="6"/>
        <v>0.03</v>
      </c>
      <c r="D25" s="139"/>
      <c r="E25" s="183">
        <f>($B$4*$B$5-(B25-$B$21)*$H$4)/C25</f>
        <v>0.02000000000000001</v>
      </c>
      <c r="F25" s="184">
        <f>($H$4*B25-$B$4*$B$5)/C25</f>
        <v>0.019999999999999997</v>
      </c>
      <c r="G25" s="148"/>
      <c r="H25" s="88">
        <f t="shared" si="9"/>
        <v>2.0100009999727053E-06</v>
      </c>
      <c r="I25" s="88">
        <f>(-($D$9+E25)+SQRT(($D$9+E25)^2+4*$D$9*F25))/2</f>
        <v>4.975121902991986E-09</v>
      </c>
      <c r="J25" s="265">
        <f>-LOG(H25)</f>
        <v>5.696803726518556</v>
      </c>
      <c r="K25" s="266" t="s">
        <v>56</v>
      </c>
    </row>
    <row r="26" spans="1:11" ht="15.75">
      <c r="A26" s="73">
        <v>20</v>
      </c>
      <c r="B26" s="76">
        <f t="shared" si="0"/>
        <v>0.02</v>
      </c>
      <c r="C26" s="71">
        <f t="shared" si="6"/>
        <v>0.032</v>
      </c>
      <c r="D26" s="78"/>
      <c r="E26" s="132">
        <f t="shared" si="7"/>
        <v>0.012500000000000002</v>
      </c>
      <c r="F26" s="117">
        <f t="shared" si="8"/>
        <v>0.024999999999999998</v>
      </c>
      <c r="G26" s="147"/>
      <c r="H26" s="87">
        <f t="shared" si="9"/>
        <v>1.0050011999571111E-06</v>
      </c>
      <c r="I26" s="87">
        <f t="shared" si="10"/>
        <v>9.950236875763685E-09</v>
      </c>
      <c r="J26" s="267">
        <f t="shared" si="11"/>
        <v>5.99783341970176</v>
      </c>
      <c r="K26" s="268" t="s">
        <v>55</v>
      </c>
    </row>
    <row r="27" spans="1:11" ht="12.75">
      <c r="A27" s="73">
        <v>21.5</v>
      </c>
      <c r="B27" s="76">
        <f t="shared" si="0"/>
        <v>0.0215</v>
      </c>
      <c r="C27" s="71">
        <f t="shared" si="6"/>
        <v>0.0335</v>
      </c>
      <c r="D27" s="78"/>
      <c r="E27" s="132">
        <f t="shared" si="7"/>
        <v>0.007462686567164185</v>
      </c>
      <c r="F27" s="117">
        <f t="shared" si="8"/>
        <v>0.028358208955223875</v>
      </c>
      <c r="G27" s="147"/>
      <c r="H27" s="87">
        <f t="shared" si="9"/>
        <v>5.28949061042476E-07</v>
      </c>
      <c r="I27" s="87">
        <f t="shared" si="10"/>
        <v>1.890541213986005E-08</v>
      </c>
      <c r="J27" s="267">
        <f t="shared" si="11"/>
        <v>6.276586149464541</v>
      </c>
      <c r="K27" s="269"/>
    </row>
    <row r="28" spans="1:11" ht="12.75">
      <c r="A28" s="73">
        <v>23</v>
      </c>
      <c r="B28" s="76">
        <f t="shared" si="0"/>
        <v>0.023</v>
      </c>
      <c r="C28" s="71">
        <f t="shared" si="6"/>
        <v>0.035</v>
      </c>
      <c r="D28" s="78"/>
      <c r="E28" s="132">
        <f t="shared" si="7"/>
        <v>0.002857142857142858</v>
      </c>
      <c r="F28" s="117">
        <f t="shared" si="8"/>
        <v>0.031428571428571424</v>
      </c>
      <c r="G28" s="147"/>
      <c r="H28" s="87">
        <f t="shared" si="9"/>
        <v>1.8273109083602422E-07</v>
      </c>
      <c r="I28" s="87">
        <f t="shared" si="10"/>
        <v>5.4725224668929554E-08</v>
      </c>
      <c r="J28" s="267">
        <f t="shared" si="11"/>
        <v>6.738187553196133</v>
      </c>
      <c r="K28" s="269"/>
    </row>
    <row r="29" spans="1:11" ht="12.75">
      <c r="A29" s="73">
        <v>23.5</v>
      </c>
      <c r="B29" s="76">
        <f t="shared" si="0"/>
        <v>0.0235</v>
      </c>
      <c r="C29" s="71">
        <f t="shared" si="6"/>
        <v>0.035500000000000004</v>
      </c>
      <c r="D29" s="78"/>
      <c r="E29" s="132">
        <f t="shared" si="7"/>
        <v>0.0014084507042253557</v>
      </c>
      <c r="F29" s="117">
        <f t="shared" si="8"/>
        <v>0.0323943661971831</v>
      </c>
      <c r="G29" s="147"/>
      <c r="H29" s="87">
        <f t="shared" si="9"/>
        <v>8.739871244163276E-08</v>
      </c>
      <c r="I29" s="87">
        <f t="shared" si="10"/>
        <v>1.1441816155676517E-07</v>
      </c>
      <c r="J29" s="267">
        <f t="shared" si="11"/>
        <v>7.058494965347438</v>
      </c>
      <c r="K29" s="269"/>
    </row>
    <row r="30" spans="1:11" ht="12.75">
      <c r="A30" s="73">
        <v>23.9</v>
      </c>
      <c r="B30" s="76">
        <f t="shared" si="0"/>
        <v>0.023899999999999998</v>
      </c>
      <c r="C30" s="71">
        <f t="shared" si="6"/>
        <v>0.0359</v>
      </c>
      <c r="D30" s="78"/>
      <c r="E30" s="132">
        <f t="shared" si="7"/>
        <v>0.0002785515320334329</v>
      </c>
      <c r="F30" s="117">
        <f t="shared" si="8"/>
        <v>0.033147632311977704</v>
      </c>
      <c r="G30" s="147"/>
      <c r="H30" s="87">
        <f t="shared" si="9"/>
        <v>1.692688136602159E-08</v>
      </c>
      <c r="I30" s="87">
        <f t="shared" si="10"/>
        <v>5.907762796798256E-07</v>
      </c>
      <c r="J30" s="270">
        <f t="shared" si="11"/>
        <v>7.771423049586817</v>
      </c>
      <c r="K30" s="268"/>
    </row>
    <row r="31" spans="1:13" s="116" customFormat="1" ht="30" customHeight="1">
      <c r="A31" s="109">
        <f>B31*1000</f>
        <v>24</v>
      </c>
      <c r="B31" s="110">
        <f>H8</f>
        <v>0.024</v>
      </c>
      <c r="C31" s="111">
        <f t="shared" si="6"/>
        <v>0.036000000000000004</v>
      </c>
      <c r="D31" s="167"/>
      <c r="E31" s="168">
        <f t="shared" si="7"/>
        <v>0</v>
      </c>
      <c r="F31" s="185">
        <f>($H$4*B31-$B$4*$B$5)/C31</f>
        <v>0.03333333333333333</v>
      </c>
      <c r="G31" s="174">
        <f aca="true" t="shared" si="12" ref="G31:G37">($H$4*(B31-$B$31))/C31</f>
        <v>0</v>
      </c>
      <c r="H31" s="169">
        <f t="shared" si="9"/>
        <v>7.766807608202009E-10</v>
      </c>
      <c r="I31" s="189">
        <f>(-($D$9)+SQRT(($D$9)^2+4*$D$9*F31))/2</f>
        <v>1.287530283283915E-05</v>
      </c>
      <c r="J31" s="113">
        <f t="shared" si="11"/>
        <v>9.109757452632396</v>
      </c>
      <c r="K31" s="114" t="s">
        <v>58</v>
      </c>
      <c r="L31" s="115"/>
      <c r="M31" s="115"/>
    </row>
    <row r="32" spans="1:11" ht="12.75">
      <c r="A32" s="73">
        <v>24.1</v>
      </c>
      <c r="B32" s="76">
        <f t="shared" si="0"/>
        <v>0.0241</v>
      </c>
      <c r="C32" s="71">
        <f t="shared" si="6"/>
        <v>0.0361</v>
      </c>
      <c r="D32" s="164"/>
      <c r="E32" s="165"/>
      <c r="F32" s="166">
        <f aca="true" t="shared" si="13" ref="F32:F37">$B$4*$B$5/C32</f>
        <v>0.0332409972299169</v>
      </c>
      <c r="G32" s="175">
        <f t="shared" si="12"/>
        <v>0.0002770083102493058</v>
      </c>
      <c r="H32" s="178">
        <f aca="true" t="shared" si="14" ref="H32:H37">$B$8/I32</f>
        <v>3.6100000000000217E-11</v>
      </c>
      <c r="I32" s="170">
        <f aca="true" t="shared" si="15" ref="I32:I37">G32</f>
        <v>0.0002770083102493058</v>
      </c>
      <c r="J32" s="190">
        <f t="shared" si="11"/>
        <v>10.442492798094339</v>
      </c>
      <c r="K32" s="191"/>
    </row>
    <row r="33" spans="1:11" ht="12.75">
      <c r="A33" s="73">
        <v>24.5</v>
      </c>
      <c r="B33" s="76">
        <f t="shared" si="0"/>
        <v>0.0245</v>
      </c>
      <c r="C33" s="71">
        <f t="shared" si="6"/>
        <v>0.036500000000000005</v>
      </c>
      <c r="D33" s="78"/>
      <c r="E33" s="76"/>
      <c r="F33" s="117">
        <f t="shared" si="13"/>
        <v>0.03287671232876712</v>
      </c>
      <c r="G33" s="176">
        <f t="shared" si="12"/>
        <v>0.0013698630136986312</v>
      </c>
      <c r="H33" s="179">
        <f t="shared" si="14"/>
        <v>7.299999999999994E-12</v>
      </c>
      <c r="I33" s="171">
        <f t="shared" si="15"/>
        <v>0.0013698630136986312</v>
      </c>
      <c r="J33" s="142">
        <f t="shared" si="11"/>
        <v>11.136677139879545</v>
      </c>
      <c r="K33" s="192"/>
    </row>
    <row r="34" spans="1:11" ht="12.75">
      <c r="A34" s="73">
        <v>25</v>
      </c>
      <c r="B34" s="76">
        <f t="shared" si="0"/>
        <v>0.025</v>
      </c>
      <c r="C34" s="71">
        <f t="shared" si="6"/>
        <v>0.037000000000000005</v>
      </c>
      <c r="D34" s="78"/>
      <c r="E34" s="76"/>
      <c r="F34" s="117">
        <f t="shared" si="13"/>
        <v>0.032432432432432434</v>
      </c>
      <c r="G34" s="176">
        <f t="shared" si="12"/>
        <v>0.002702702702702705</v>
      </c>
      <c r="H34" s="179">
        <f t="shared" si="14"/>
        <v>3.699999999999997E-12</v>
      </c>
      <c r="I34" s="171">
        <f t="shared" si="15"/>
        <v>0.002702702702702705</v>
      </c>
      <c r="J34" s="142">
        <f t="shared" si="11"/>
        <v>11.431798275933005</v>
      </c>
      <c r="K34" s="192"/>
    </row>
    <row r="35" spans="1:11" ht="12.75">
      <c r="A35" s="73">
        <v>26</v>
      </c>
      <c r="B35" s="76">
        <f t="shared" si="0"/>
        <v>0.026</v>
      </c>
      <c r="C35" s="71">
        <f t="shared" si="6"/>
        <v>0.038</v>
      </c>
      <c r="D35" s="78"/>
      <c r="E35" s="76"/>
      <c r="F35" s="117">
        <f t="shared" si="13"/>
        <v>0.031578947368421054</v>
      </c>
      <c r="G35" s="176">
        <f t="shared" si="12"/>
        <v>0.0052631578947368385</v>
      </c>
      <c r="H35" s="179">
        <f t="shared" si="14"/>
        <v>1.900000000000001E-12</v>
      </c>
      <c r="I35" s="171">
        <f t="shared" si="15"/>
        <v>0.0052631578947368385</v>
      </c>
      <c r="J35" s="142">
        <f t="shared" si="11"/>
        <v>11.721246399047171</v>
      </c>
      <c r="K35" s="192"/>
    </row>
    <row r="36" spans="1:11" ht="12.75">
      <c r="A36" s="73">
        <v>28</v>
      </c>
      <c r="B36" s="76">
        <f t="shared" si="0"/>
        <v>0.028</v>
      </c>
      <c r="C36" s="71">
        <f t="shared" si="6"/>
        <v>0.04</v>
      </c>
      <c r="D36" s="78"/>
      <c r="E36" s="76"/>
      <c r="F36" s="117">
        <f t="shared" si="13"/>
        <v>0.030000000000000002</v>
      </c>
      <c r="G36" s="176">
        <f t="shared" si="12"/>
        <v>0.01</v>
      </c>
      <c r="H36" s="179">
        <f t="shared" si="14"/>
        <v>1E-12</v>
      </c>
      <c r="I36" s="171">
        <f t="shared" si="15"/>
        <v>0.01</v>
      </c>
      <c r="J36" s="142">
        <f t="shared" si="11"/>
        <v>12</v>
      </c>
      <c r="K36" s="192"/>
    </row>
    <row r="37" spans="1:11" ht="12.75">
      <c r="A37" s="81">
        <v>30</v>
      </c>
      <c r="B37" s="82">
        <f t="shared" si="0"/>
        <v>0.03</v>
      </c>
      <c r="C37" s="83">
        <f t="shared" si="6"/>
        <v>0.041999999999999996</v>
      </c>
      <c r="D37" s="84"/>
      <c r="E37" s="82"/>
      <c r="F37" s="118">
        <f t="shared" si="13"/>
        <v>0.028571428571428577</v>
      </c>
      <c r="G37" s="177">
        <f t="shared" si="12"/>
        <v>0.014285714285714284</v>
      </c>
      <c r="H37" s="180">
        <f t="shared" si="14"/>
        <v>7.000000000000001E-13</v>
      </c>
      <c r="I37" s="172">
        <f t="shared" si="15"/>
        <v>0.014285714285714284</v>
      </c>
      <c r="J37" s="193">
        <f t="shared" si="11"/>
        <v>12.154901959985743</v>
      </c>
      <c r="K37" s="194"/>
    </row>
    <row r="38" ht="12.75">
      <c r="C38" s="4"/>
    </row>
    <row r="39" ht="12.75"/>
    <row r="40" ht="12.75"/>
    <row r="41" ht="12.75"/>
    <row r="42" ht="12.75"/>
    <row r="43" ht="12.75"/>
    <row r="44" ht="12.75"/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F20" sqref="F20"/>
    </sheetView>
  </sheetViews>
  <sheetFormatPr defaultColWidth="9.140625" defaultRowHeight="12.75"/>
  <cols>
    <col min="1" max="1" width="8.00390625" style="2" customWidth="1"/>
    <col min="2" max="2" width="10.140625" style="2" customWidth="1"/>
    <col min="3" max="3" width="9.421875" style="2" customWidth="1"/>
    <col min="4" max="4" width="11.140625" style="0" customWidth="1"/>
    <col min="5" max="5" width="11.00390625" style="0" customWidth="1"/>
    <col min="6" max="6" width="11.140625" style="0" customWidth="1"/>
    <col min="7" max="7" width="10.8515625" style="0" customWidth="1"/>
    <col min="8" max="8" width="7.57421875" style="0" customWidth="1"/>
    <col min="9" max="9" width="9.7109375" style="0" customWidth="1"/>
    <col min="10" max="10" width="6.8515625" style="0" customWidth="1"/>
    <col min="11" max="11" width="26.00390625" style="0" customWidth="1"/>
    <col min="12" max="12" width="9.421875" style="0" customWidth="1"/>
    <col min="13" max="13" width="8.8515625" style="0" customWidth="1"/>
  </cols>
  <sheetData>
    <row r="1" ht="21">
      <c r="A1" s="6" t="s">
        <v>40</v>
      </c>
    </row>
    <row r="3" spans="1:9" ht="12.75">
      <c r="A3" s="7" t="s">
        <v>14</v>
      </c>
      <c r="B3" s="8"/>
      <c r="C3" s="9"/>
      <c r="F3" s="2"/>
      <c r="G3" s="16" t="s">
        <v>15</v>
      </c>
      <c r="H3" s="17"/>
      <c r="I3" s="18"/>
    </row>
    <row r="4" spans="1:9" ht="15.75">
      <c r="A4" s="10" t="s">
        <v>6</v>
      </c>
      <c r="B4" s="11">
        <v>0.1</v>
      </c>
      <c r="C4" s="12" t="s">
        <v>17</v>
      </c>
      <c r="F4" s="2"/>
      <c r="G4" s="19" t="s">
        <v>8</v>
      </c>
      <c r="H4" s="20">
        <v>0.1</v>
      </c>
      <c r="I4" s="21" t="s">
        <v>9</v>
      </c>
    </row>
    <row r="5" spans="1:6" ht="15.75">
      <c r="A5" s="13" t="s">
        <v>7</v>
      </c>
      <c r="B5" s="14">
        <v>0.012</v>
      </c>
      <c r="C5" s="15" t="s">
        <v>16</v>
      </c>
      <c r="F5" s="2"/>
    </row>
    <row r="6" ht="12.75"/>
    <row r="7" spans="1:9" ht="14.25">
      <c r="A7" s="22" t="s">
        <v>10</v>
      </c>
      <c r="B7" s="23">
        <v>0.00142</v>
      </c>
      <c r="C7" s="22" t="s">
        <v>10</v>
      </c>
      <c r="D7" s="120">
        <v>2.01E-06</v>
      </c>
      <c r="G7" s="121" t="s">
        <v>42</v>
      </c>
      <c r="H7" s="122"/>
      <c r="I7" s="123" t="s">
        <v>12</v>
      </c>
    </row>
    <row r="8" spans="1:9" ht="15.75">
      <c r="A8" s="24" t="s">
        <v>3</v>
      </c>
      <c r="B8" s="25">
        <f>10^-14</f>
        <v>1E-14</v>
      </c>
      <c r="C8" s="24" t="s">
        <v>3</v>
      </c>
      <c r="D8" s="25">
        <f>10^-14</f>
        <v>1E-14</v>
      </c>
      <c r="G8" s="28" t="s">
        <v>42</v>
      </c>
      <c r="H8" s="29"/>
      <c r="I8" s="30" t="s">
        <v>12</v>
      </c>
    </row>
    <row r="9" spans="1:7" ht="12.75">
      <c r="A9" s="26" t="s">
        <v>11</v>
      </c>
      <c r="B9" s="247"/>
      <c r="C9" s="26" t="s">
        <v>11</v>
      </c>
      <c r="D9" s="247"/>
      <c r="F9" s="5" t="s">
        <v>1</v>
      </c>
      <c r="G9" s="2"/>
    </row>
    <row r="10" ht="12.75"/>
    <row r="11" spans="1:10" s="129" customFormat="1" ht="33.75" customHeight="1">
      <c r="A11" s="124" t="s">
        <v>13</v>
      </c>
      <c r="B11" s="125" t="s">
        <v>18</v>
      </c>
      <c r="C11" s="126" t="s">
        <v>57</v>
      </c>
      <c r="D11" s="127" t="s">
        <v>43</v>
      </c>
      <c r="E11" s="131" t="s">
        <v>44</v>
      </c>
      <c r="F11" s="130" t="s">
        <v>45</v>
      </c>
      <c r="G11" s="143" t="s">
        <v>37</v>
      </c>
      <c r="H11" s="128" t="s">
        <v>4</v>
      </c>
      <c r="I11" s="128" t="s">
        <v>5</v>
      </c>
      <c r="J11" s="155" t="s">
        <v>2</v>
      </c>
    </row>
    <row r="12" spans="1:11" ht="15.75">
      <c r="A12" s="69">
        <v>0</v>
      </c>
      <c r="B12" s="70"/>
      <c r="C12" s="71"/>
      <c r="D12" s="186"/>
      <c r="E12" s="187"/>
      <c r="F12" s="173"/>
      <c r="G12" s="144"/>
      <c r="H12" s="87"/>
      <c r="I12" s="71"/>
      <c r="J12" s="156"/>
      <c r="K12" s="157" t="s">
        <v>46</v>
      </c>
    </row>
    <row r="13" spans="1:11" ht="12.75" customHeight="1">
      <c r="A13" s="73">
        <v>1.5</v>
      </c>
      <c r="B13" s="71"/>
      <c r="C13" s="71"/>
      <c r="D13" s="119"/>
      <c r="E13" s="132"/>
      <c r="F13" s="173"/>
      <c r="G13" s="144"/>
      <c r="H13" s="87"/>
      <c r="I13" s="71"/>
      <c r="J13" s="158"/>
      <c r="K13" s="159" t="s">
        <v>47</v>
      </c>
    </row>
    <row r="14" spans="1:11" ht="12.75" customHeight="1">
      <c r="A14" s="73">
        <v>3</v>
      </c>
      <c r="B14" s="71"/>
      <c r="C14" s="71"/>
      <c r="D14" s="119"/>
      <c r="E14" s="132"/>
      <c r="F14" s="173"/>
      <c r="G14" s="144"/>
      <c r="H14" s="87"/>
      <c r="I14" s="71"/>
      <c r="J14" s="91"/>
      <c r="K14" s="160" t="s">
        <v>48</v>
      </c>
    </row>
    <row r="15" spans="1:11" ht="12.75">
      <c r="A15" s="73">
        <v>4.5</v>
      </c>
      <c r="B15" s="71"/>
      <c r="C15" s="71"/>
      <c r="D15" s="119"/>
      <c r="E15" s="132"/>
      <c r="F15" s="173"/>
      <c r="G15" s="144"/>
      <c r="H15" s="87"/>
      <c r="I15" s="71"/>
      <c r="J15" s="91"/>
      <c r="K15" s="161" t="s">
        <v>41</v>
      </c>
    </row>
    <row r="16" spans="1:11" ht="12.75">
      <c r="A16" s="74">
        <f>A21/2</f>
        <v>0</v>
      </c>
      <c r="B16" s="75"/>
      <c r="C16" s="75"/>
      <c r="D16" s="182"/>
      <c r="E16" s="183"/>
      <c r="F16" s="135"/>
      <c r="G16" s="145"/>
      <c r="H16" s="89"/>
      <c r="I16" s="75"/>
      <c r="J16" s="92"/>
      <c r="K16" s="93" t="s">
        <v>51</v>
      </c>
    </row>
    <row r="17" spans="1:11" ht="15.75">
      <c r="A17" s="73">
        <v>7.5</v>
      </c>
      <c r="B17" s="71"/>
      <c r="C17" s="71"/>
      <c r="D17" s="119"/>
      <c r="E17" s="132"/>
      <c r="F17" s="173"/>
      <c r="G17" s="144"/>
      <c r="H17" s="87"/>
      <c r="I17" s="71"/>
      <c r="J17" s="91"/>
      <c r="K17" s="94" t="s">
        <v>49</v>
      </c>
    </row>
    <row r="18" spans="1:11" ht="12.75">
      <c r="A18" s="73">
        <v>9</v>
      </c>
      <c r="B18" s="71"/>
      <c r="C18" s="71"/>
      <c r="D18" s="119"/>
      <c r="E18" s="132"/>
      <c r="F18" s="173"/>
      <c r="G18" s="144"/>
      <c r="H18" s="87"/>
      <c r="I18" s="71"/>
      <c r="J18" s="91"/>
      <c r="K18" s="161"/>
    </row>
    <row r="19" spans="1:11" ht="12.75">
      <c r="A19" s="73">
        <v>10</v>
      </c>
      <c r="B19" s="71"/>
      <c r="C19" s="71"/>
      <c r="D19" s="119"/>
      <c r="E19" s="132"/>
      <c r="F19" s="173"/>
      <c r="G19" s="144"/>
      <c r="H19" s="87"/>
      <c r="I19" s="71"/>
      <c r="J19" s="91"/>
      <c r="K19" s="161"/>
    </row>
    <row r="20" spans="1:11" ht="12.75">
      <c r="A20" s="73">
        <v>11</v>
      </c>
      <c r="B20" s="71"/>
      <c r="C20" s="71"/>
      <c r="D20" s="119"/>
      <c r="E20" s="132"/>
      <c r="F20" s="173"/>
      <c r="G20" s="144"/>
      <c r="H20" s="87"/>
      <c r="I20" s="71"/>
      <c r="J20" s="162"/>
      <c r="K20" s="163"/>
    </row>
    <row r="21" spans="1:13" s="116" customFormat="1" ht="30" customHeight="1">
      <c r="A21" s="109">
        <f>B21*1000</f>
        <v>0</v>
      </c>
      <c r="B21" s="110"/>
      <c r="C21" s="111"/>
      <c r="D21" s="149"/>
      <c r="E21" s="133"/>
      <c r="F21" s="140"/>
      <c r="G21" s="146"/>
      <c r="H21" s="112"/>
      <c r="I21" s="181"/>
      <c r="J21" s="141"/>
      <c r="K21" s="134" t="s">
        <v>50</v>
      </c>
      <c r="L21" s="115"/>
      <c r="M21" s="115"/>
    </row>
    <row r="22" spans="1:13" s="1" customFormat="1" ht="15">
      <c r="A22" s="73">
        <v>13</v>
      </c>
      <c r="B22" s="77"/>
      <c r="C22" s="71"/>
      <c r="D22" s="78"/>
      <c r="E22" s="132"/>
      <c r="F22" s="117"/>
      <c r="G22" s="147"/>
      <c r="H22" s="87"/>
      <c r="I22" s="87"/>
      <c r="J22" s="260"/>
      <c r="K22" s="261" t="s">
        <v>52</v>
      </c>
      <c r="L22"/>
      <c r="M22"/>
    </row>
    <row r="23" spans="1:11" ht="15">
      <c r="A23" s="73">
        <v>14.5</v>
      </c>
      <c r="B23" s="77"/>
      <c r="C23" s="71"/>
      <c r="D23" s="78"/>
      <c r="E23" s="132"/>
      <c r="F23" s="117"/>
      <c r="G23" s="147"/>
      <c r="H23" s="87"/>
      <c r="I23" s="87"/>
      <c r="J23" s="262"/>
      <c r="K23" s="263" t="s">
        <v>53</v>
      </c>
    </row>
    <row r="24" spans="1:11" ht="12.75">
      <c r="A24" s="73">
        <v>16</v>
      </c>
      <c r="B24" s="76"/>
      <c r="C24" s="71"/>
      <c r="D24" s="78"/>
      <c r="E24" s="132"/>
      <c r="F24" s="117"/>
      <c r="G24" s="147"/>
      <c r="H24" s="87"/>
      <c r="I24" s="87"/>
      <c r="J24" s="262"/>
      <c r="K24" s="264" t="s">
        <v>54</v>
      </c>
    </row>
    <row r="25" spans="1:11" ht="12.75">
      <c r="A25" s="246">
        <f>A21+(A31-A21)/2</f>
        <v>0</v>
      </c>
      <c r="B25" s="138"/>
      <c r="C25" s="75"/>
      <c r="D25" s="139"/>
      <c r="E25" s="183"/>
      <c r="F25" s="184"/>
      <c r="G25" s="148"/>
      <c r="H25" s="88"/>
      <c r="I25" s="88"/>
      <c r="J25" s="265"/>
      <c r="K25" s="266" t="s">
        <v>56</v>
      </c>
    </row>
    <row r="26" spans="1:11" ht="15.75">
      <c r="A26" s="73">
        <v>20</v>
      </c>
      <c r="B26" s="76"/>
      <c r="C26" s="71"/>
      <c r="D26" s="78"/>
      <c r="E26" s="132"/>
      <c r="F26" s="117"/>
      <c r="G26" s="147"/>
      <c r="H26" s="87"/>
      <c r="I26" s="87"/>
      <c r="J26" s="267"/>
      <c r="K26" s="268" t="s">
        <v>55</v>
      </c>
    </row>
    <row r="27" spans="1:11" ht="12.75">
      <c r="A27" s="73">
        <v>21.5</v>
      </c>
      <c r="B27" s="76"/>
      <c r="C27" s="71"/>
      <c r="D27" s="78"/>
      <c r="E27" s="132"/>
      <c r="F27" s="117"/>
      <c r="G27" s="147"/>
      <c r="H27" s="87"/>
      <c r="I27" s="87"/>
      <c r="J27" s="267"/>
      <c r="K27" s="269"/>
    </row>
    <row r="28" spans="1:11" ht="12.75">
      <c r="A28" s="73">
        <v>23</v>
      </c>
      <c r="B28" s="76"/>
      <c r="C28" s="71"/>
      <c r="D28" s="78"/>
      <c r="E28" s="132"/>
      <c r="F28" s="117"/>
      <c r="G28" s="147"/>
      <c r="H28" s="87"/>
      <c r="I28" s="87"/>
      <c r="J28" s="267"/>
      <c r="K28" s="269"/>
    </row>
    <row r="29" spans="1:11" ht="12.75">
      <c r="A29" s="73">
        <v>23.5</v>
      </c>
      <c r="B29" s="76"/>
      <c r="C29" s="71"/>
      <c r="D29" s="78"/>
      <c r="E29" s="132"/>
      <c r="F29" s="117"/>
      <c r="G29" s="147"/>
      <c r="H29" s="87"/>
      <c r="I29" s="87"/>
      <c r="J29" s="267"/>
      <c r="K29" s="269"/>
    </row>
    <row r="30" spans="1:11" ht="12.75">
      <c r="A30" s="73">
        <v>23.9</v>
      </c>
      <c r="B30" s="76"/>
      <c r="C30" s="71"/>
      <c r="D30" s="78"/>
      <c r="E30" s="132"/>
      <c r="F30" s="117"/>
      <c r="G30" s="147"/>
      <c r="H30" s="87"/>
      <c r="I30" s="87"/>
      <c r="J30" s="270"/>
      <c r="K30" s="268"/>
    </row>
    <row r="31" spans="1:13" s="116" customFormat="1" ht="30" customHeight="1">
      <c r="A31" s="109">
        <f>B31*1000</f>
        <v>0</v>
      </c>
      <c r="B31" s="110"/>
      <c r="C31" s="111"/>
      <c r="D31" s="167"/>
      <c r="E31" s="168"/>
      <c r="F31" s="185"/>
      <c r="G31" s="174"/>
      <c r="H31" s="169"/>
      <c r="I31" s="189"/>
      <c r="J31" s="113"/>
      <c r="K31" s="114" t="s">
        <v>58</v>
      </c>
      <c r="L31" s="115"/>
      <c r="M31" s="115"/>
    </row>
    <row r="32" spans="1:11" ht="12.75">
      <c r="A32" s="73">
        <v>24.1</v>
      </c>
      <c r="B32" s="76"/>
      <c r="C32" s="71"/>
      <c r="D32" s="164"/>
      <c r="E32" s="165"/>
      <c r="F32" s="166"/>
      <c r="G32" s="175"/>
      <c r="H32" s="178"/>
      <c r="I32" s="170"/>
      <c r="J32" s="190"/>
      <c r="K32" s="191"/>
    </row>
    <row r="33" spans="1:11" ht="12.75">
      <c r="A33" s="73">
        <v>24.5</v>
      </c>
      <c r="B33" s="76"/>
      <c r="C33" s="71"/>
      <c r="D33" s="78"/>
      <c r="E33" s="76"/>
      <c r="F33" s="117"/>
      <c r="G33" s="176"/>
      <c r="H33" s="179"/>
      <c r="I33" s="171"/>
      <c r="J33" s="142"/>
      <c r="K33" s="192"/>
    </row>
    <row r="34" spans="1:11" ht="12.75">
      <c r="A34" s="73">
        <v>25</v>
      </c>
      <c r="B34" s="76"/>
      <c r="C34" s="71"/>
      <c r="D34" s="78"/>
      <c r="E34" s="76"/>
      <c r="F34" s="117"/>
      <c r="G34" s="176"/>
      <c r="H34" s="179"/>
      <c r="I34" s="171"/>
      <c r="J34" s="142"/>
      <c r="K34" s="192"/>
    </row>
    <row r="35" spans="1:11" ht="12.75">
      <c r="A35" s="73">
        <v>26</v>
      </c>
      <c r="B35" s="76"/>
      <c r="C35" s="71"/>
      <c r="D35" s="78"/>
      <c r="E35" s="76"/>
      <c r="F35" s="117"/>
      <c r="G35" s="176"/>
      <c r="H35" s="179"/>
      <c r="I35" s="171"/>
      <c r="J35" s="142"/>
      <c r="K35" s="192"/>
    </row>
    <row r="36" spans="1:11" ht="12.75">
      <c r="A36" s="73">
        <v>28</v>
      </c>
      <c r="B36" s="76"/>
      <c r="C36" s="71"/>
      <c r="D36" s="78"/>
      <c r="E36" s="76"/>
      <c r="F36" s="117"/>
      <c r="G36" s="176"/>
      <c r="H36" s="179"/>
      <c r="I36" s="171"/>
      <c r="J36" s="142"/>
      <c r="K36" s="192"/>
    </row>
    <row r="37" spans="1:11" ht="12.75">
      <c r="A37" s="81">
        <v>30</v>
      </c>
      <c r="B37" s="82"/>
      <c r="C37" s="83"/>
      <c r="D37" s="84"/>
      <c r="E37" s="82"/>
      <c r="F37" s="118"/>
      <c r="G37" s="177"/>
      <c r="H37" s="180"/>
      <c r="I37" s="172"/>
      <c r="J37" s="193"/>
      <c r="K37" s="194"/>
    </row>
    <row r="38" ht="12.75">
      <c r="C38" s="4"/>
    </row>
    <row r="39" ht="12.75"/>
    <row r="40" ht="12.75"/>
    <row r="41" ht="12.75"/>
    <row r="42" ht="12.75"/>
    <row r="43" ht="12.75"/>
    <row r="44" ht="12.75"/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H41" sqref="H41"/>
    </sheetView>
  </sheetViews>
  <sheetFormatPr defaultColWidth="9.140625" defaultRowHeight="12.75"/>
  <cols>
    <col min="7" max="7" width="16.28125" style="0" customWidth="1"/>
  </cols>
  <sheetData>
    <row r="1" ht="14.25">
      <c r="A1" s="1" t="s">
        <v>89</v>
      </c>
    </row>
    <row r="2" spans="1:2" ht="15.75">
      <c r="A2" s="209" t="s">
        <v>3</v>
      </c>
      <c r="B2">
        <f>10^-14</f>
        <v>1E-14</v>
      </c>
    </row>
    <row r="3" spans="1:11" ht="15.75">
      <c r="A3" t="s">
        <v>80</v>
      </c>
      <c r="B3" s="239">
        <v>2.7</v>
      </c>
      <c r="C3" t="s">
        <v>82</v>
      </c>
      <c r="D3" s="239">
        <v>5.2</v>
      </c>
      <c r="E3" t="s">
        <v>84</v>
      </c>
      <c r="F3" s="239">
        <v>8.5</v>
      </c>
      <c r="G3" s="209" t="s">
        <v>86</v>
      </c>
      <c r="H3" s="239">
        <v>0.1</v>
      </c>
      <c r="J3" s="209" t="s">
        <v>88</v>
      </c>
      <c r="K3" s="239">
        <v>0.1</v>
      </c>
    </row>
    <row r="4" spans="1:8" ht="15.75">
      <c r="A4" s="209" t="s">
        <v>81</v>
      </c>
      <c r="B4" s="208">
        <f>10^-B3</f>
        <v>0.001995262314968878</v>
      </c>
      <c r="C4" s="209" t="s">
        <v>83</v>
      </c>
      <c r="D4" s="208">
        <f>10^-D3</f>
        <v>6.309573444801921E-06</v>
      </c>
      <c r="E4" s="209" t="s">
        <v>85</v>
      </c>
      <c r="F4" s="208">
        <f>10^-F3</f>
        <v>3.162277660168378E-09</v>
      </c>
      <c r="G4" s="209" t="s">
        <v>87</v>
      </c>
      <c r="H4" s="239">
        <v>0.012</v>
      </c>
    </row>
    <row r="6" spans="4:7" ht="12.75">
      <c r="D6" s="271" t="s">
        <v>74</v>
      </c>
      <c r="E6" s="272"/>
      <c r="F6" s="272"/>
      <c r="G6" s="273"/>
    </row>
    <row r="7" spans="4:7" ht="15">
      <c r="D7" s="235" t="s">
        <v>75</v>
      </c>
      <c r="E7" s="236" t="s">
        <v>76</v>
      </c>
      <c r="F7" s="237" t="s">
        <v>77</v>
      </c>
      <c r="G7" s="238" t="s">
        <v>78</v>
      </c>
    </row>
    <row r="8" spans="1:9" ht="15">
      <c r="A8" s="1" t="s">
        <v>2</v>
      </c>
      <c r="B8" s="1" t="s">
        <v>65</v>
      </c>
      <c r="C8" s="1" t="s">
        <v>64</v>
      </c>
      <c r="D8" s="240" t="s">
        <v>66</v>
      </c>
      <c r="E8" s="240" t="s">
        <v>67</v>
      </c>
      <c r="F8" s="240" t="s">
        <v>68</v>
      </c>
      <c r="G8" s="240" t="s">
        <v>69</v>
      </c>
      <c r="H8" s="234" t="s">
        <v>96</v>
      </c>
      <c r="I8" s="234" t="s">
        <v>79</v>
      </c>
    </row>
    <row r="9" spans="1:9" ht="12.75">
      <c r="A9">
        <v>0</v>
      </c>
      <c r="B9">
        <f>10^-A9</f>
        <v>1</v>
      </c>
      <c r="C9">
        <f>B9-$B$2/B9</f>
        <v>0.99999999999999</v>
      </c>
      <c r="D9" s="226">
        <f aca="true" t="shared" si="0" ref="D9:D40">$B9^3/($B9^3+$B9^2*$B$4+$B9*$B$4*$D$4+$B$4*$D$4*$F$4)</f>
        <v>0.9980086982901056</v>
      </c>
      <c r="E9" s="227">
        <f aca="true" t="shared" si="1" ref="E9:E40">$B9^2*$B$4/($B9^3+$B9^2*$B$4+$B9*$B$4*$D$4+$B$4*$D$4*$F$4)</f>
        <v>0.0019912891457093927</v>
      </c>
      <c r="F9" s="227">
        <f aca="true" t="shared" si="2" ref="F9:F40">$B9*$B$4*$D$4/($B9^3+$B9^2*$B$4+$B9*$B$4*$D$4+$B$4*$D$4*$F$4)</f>
        <v>1.2564185114690286E-08</v>
      </c>
      <c r="G9" s="228">
        <f aca="true" t="shared" si="3" ref="G9:G40">$B$4*$D$4*$F$4/($B9^3+$B9^2*$B$4+$B9*$B$4*$D$4+$B$4*$D$4*$F$4)</f>
        <v>3.973144190640516E-17</v>
      </c>
      <c r="H9" s="232">
        <f>$H$4*($H$3*(3*G9+2*F9+E9)-C9)/($K$3+C9)</f>
        <v>-0.010906918566246447</v>
      </c>
      <c r="I9" s="232">
        <f>H9*1000</f>
        <v>-10.906918566246446</v>
      </c>
    </row>
    <row r="10" spans="1:9" ht="12.75">
      <c r="A10">
        <v>0.2</v>
      </c>
      <c r="B10">
        <f aca="true" t="shared" si="4" ref="B10:B73">10^-A10</f>
        <v>0.6309573444801932</v>
      </c>
      <c r="C10">
        <f aca="true" t="shared" si="5" ref="C10:C73">B10-$B$2/B10</f>
        <v>0.6309573444801774</v>
      </c>
      <c r="D10" s="226">
        <f t="shared" si="0"/>
        <v>0.9968476593930191</v>
      </c>
      <c r="E10" s="227">
        <f t="shared" si="1"/>
        <v>0.0031523090838896793</v>
      </c>
      <c r="F10" s="227">
        <f t="shared" si="2"/>
        <v>3.152309083889674E-08</v>
      </c>
      <c r="G10" s="228">
        <f t="shared" si="3"/>
        <v>1.579897069292786E-16</v>
      </c>
      <c r="H10" s="232">
        <f aca="true" t="shared" si="6" ref="H10:H73">$H$4*($H$3*(3*G10+2*F10+E10)-C10)/($K$3+C10)</f>
        <v>-0.01035314214208743</v>
      </c>
      <c r="I10" s="232">
        <f aca="true" t="shared" si="7" ref="I10:I73">H10*1000</f>
        <v>-10.35314214208743</v>
      </c>
    </row>
    <row r="11" spans="1:9" ht="12.75">
      <c r="A11">
        <v>0.4</v>
      </c>
      <c r="B11">
        <f t="shared" si="4"/>
        <v>0.3981071705534972</v>
      </c>
      <c r="C11">
        <f t="shared" si="5"/>
        <v>0.39810717055347206</v>
      </c>
      <c r="D11" s="226">
        <f t="shared" si="0"/>
        <v>0.9950130426207625</v>
      </c>
      <c r="E11" s="227">
        <f t="shared" si="1"/>
        <v>0.004986878342541548</v>
      </c>
      <c r="F11" s="227">
        <f t="shared" si="2"/>
        <v>7.903669536725846E-08</v>
      </c>
      <c r="G11" s="228">
        <f t="shared" si="3"/>
        <v>6.278107870951519E-16</v>
      </c>
      <c r="H11" s="232">
        <f t="shared" si="6"/>
        <v>-0.0095788655233389</v>
      </c>
      <c r="I11" s="232">
        <f t="shared" si="7"/>
        <v>-9.578865523338902</v>
      </c>
    </row>
    <row r="12" spans="1:9" ht="12.75">
      <c r="A12">
        <v>0.6</v>
      </c>
      <c r="B12">
        <f t="shared" si="4"/>
        <v>0.251188643150958</v>
      </c>
      <c r="C12">
        <f t="shared" si="5"/>
        <v>0.2511886431509182</v>
      </c>
      <c r="D12" s="226">
        <f t="shared" si="0"/>
        <v>0.9921191197558895</v>
      </c>
      <c r="E12" s="227">
        <f t="shared" si="1"/>
        <v>0.007880682290319031</v>
      </c>
      <c r="F12" s="227">
        <f t="shared" si="2"/>
        <v>1.9795378916090177E-07</v>
      </c>
      <c r="G12" s="228">
        <f t="shared" si="3"/>
        <v>2.492090555356039E-15</v>
      </c>
      <c r="H12" s="232">
        <f t="shared" si="6"/>
        <v>-0.008556103628562557</v>
      </c>
      <c r="I12" s="232">
        <f t="shared" si="7"/>
        <v>-8.556103628562557</v>
      </c>
    </row>
    <row r="13" spans="1:9" ht="12.75">
      <c r="A13">
        <v>0.8</v>
      </c>
      <c r="B13">
        <f t="shared" si="4"/>
        <v>0.15848931924611132</v>
      </c>
      <c r="C13">
        <f t="shared" si="5"/>
        <v>0.15848931924604823</v>
      </c>
      <c r="D13" s="226">
        <f t="shared" si="0"/>
        <v>0.9875667759433425</v>
      </c>
      <c r="E13" s="227">
        <f t="shared" si="1"/>
        <v>0.0124327291007871</v>
      </c>
      <c r="F13" s="227">
        <f t="shared" si="2"/>
        <v>4.94955860457247E-07</v>
      </c>
      <c r="G13" s="228">
        <f t="shared" si="3"/>
        <v>9.875667759433401E-15</v>
      </c>
      <c r="H13" s="232">
        <f t="shared" si="6"/>
        <v>-0.0072999200649424174</v>
      </c>
      <c r="I13" s="232">
        <f t="shared" si="7"/>
        <v>-7.299920064942418</v>
      </c>
    </row>
    <row r="14" spans="1:9" ht="12.75">
      <c r="A14">
        <v>1</v>
      </c>
      <c r="B14">
        <f t="shared" si="4"/>
        <v>0.1</v>
      </c>
      <c r="C14">
        <f t="shared" si="5"/>
        <v>0.0999999999999</v>
      </c>
      <c r="D14" s="226">
        <f t="shared" si="0"/>
        <v>0.9804364859766567</v>
      </c>
      <c r="E14" s="227">
        <f t="shared" si="1"/>
        <v>0.019562279726897357</v>
      </c>
      <c r="F14" s="227">
        <f t="shared" si="2"/>
        <v>1.2342964068461854E-06</v>
      </c>
      <c r="G14" s="228">
        <f t="shared" si="3"/>
        <v>3.903187953395791E-14</v>
      </c>
      <c r="H14" s="232">
        <f t="shared" si="6"/>
        <v>-0.005882611510077972</v>
      </c>
      <c r="I14" s="232">
        <f t="shared" si="7"/>
        <v>-5.882611510077973</v>
      </c>
    </row>
    <row r="15" spans="1:9" ht="12.75">
      <c r="A15">
        <v>1.2</v>
      </c>
      <c r="B15">
        <f t="shared" si="4"/>
        <v>0.06309573444801932</v>
      </c>
      <c r="C15">
        <f t="shared" si="5"/>
        <v>0.06309573444786083</v>
      </c>
      <c r="D15" s="226">
        <f t="shared" si="0"/>
        <v>0.9693435985975182</v>
      </c>
      <c r="E15" s="227">
        <f t="shared" si="1"/>
        <v>0.030653336068721542</v>
      </c>
      <c r="F15" s="227">
        <f t="shared" si="2"/>
        <v>3.0653336068721494E-06</v>
      </c>
      <c r="G15" s="228">
        <f t="shared" si="3"/>
        <v>1.5363060705729606E-13</v>
      </c>
      <c r="H15" s="232">
        <f t="shared" si="6"/>
        <v>-0.004416776782846774</v>
      </c>
      <c r="I15" s="232">
        <f t="shared" si="7"/>
        <v>-4.4167767828467746</v>
      </c>
    </row>
    <row r="16" spans="1:9" ht="12.75">
      <c r="A16">
        <v>1.4</v>
      </c>
      <c r="B16">
        <f t="shared" si="4"/>
        <v>0.03981071705534973</v>
      </c>
      <c r="C16">
        <f t="shared" si="5"/>
        <v>0.03981071705509854</v>
      </c>
      <c r="D16" s="226">
        <f t="shared" si="0"/>
        <v>0.9522660758574781</v>
      </c>
      <c r="E16" s="227">
        <f t="shared" si="1"/>
        <v>0.04772636002361073</v>
      </c>
      <c r="F16" s="227">
        <f t="shared" si="2"/>
        <v>7.5641183102368735E-06</v>
      </c>
      <c r="G16" s="228">
        <f t="shared" si="3"/>
        <v>6.008392744616068E-13</v>
      </c>
      <c r="H16" s="232">
        <f t="shared" si="6"/>
        <v>-0.003007200217570229</v>
      </c>
      <c r="I16" s="232">
        <f t="shared" si="7"/>
        <v>-3.007200217570229</v>
      </c>
    </row>
    <row r="17" spans="1:9" ht="12.75">
      <c r="A17">
        <v>1.6</v>
      </c>
      <c r="B17">
        <f t="shared" si="4"/>
        <v>0.02511886431509578</v>
      </c>
      <c r="C17">
        <f t="shared" si="5"/>
        <v>0.025118864314697672</v>
      </c>
      <c r="D17" s="226">
        <f t="shared" si="0"/>
        <v>0.9263953200571788</v>
      </c>
      <c r="E17" s="227">
        <f t="shared" si="1"/>
        <v>0.07358619592378546</v>
      </c>
      <c r="F17" s="227">
        <f t="shared" si="2"/>
        <v>1.848401670873621E-05</v>
      </c>
      <c r="G17" s="228">
        <f t="shared" si="3"/>
        <v>2.3269998346656006E-12</v>
      </c>
      <c r="H17" s="232">
        <f t="shared" si="6"/>
        <v>-0.001703009183998172</v>
      </c>
      <c r="I17" s="232">
        <f t="shared" si="7"/>
        <v>-1.703009183998172</v>
      </c>
    </row>
    <row r="18" spans="1:9" ht="12.75">
      <c r="A18">
        <v>1.8</v>
      </c>
      <c r="B18">
        <f t="shared" si="4"/>
        <v>0.015848931924611124</v>
      </c>
      <c r="C18">
        <f t="shared" si="5"/>
        <v>0.015848931923980167</v>
      </c>
      <c r="D18" s="226">
        <f t="shared" si="0"/>
        <v>0.8881446947551169</v>
      </c>
      <c r="E18" s="227">
        <f t="shared" si="1"/>
        <v>0.11181079255773903</v>
      </c>
      <c r="F18" s="227">
        <f t="shared" si="2"/>
        <v>4.451267826250547E-05</v>
      </c>
      <c r="G18" s="228">
        <f t="shared" si="3"/>
        <v>8.881446947551159E-12</v>
      </c>
      <c r="H18" s="232">
        <f t="shared" si="6"/>
        <v>-0.0004825888390180262</v>
      </c>
      <c r="I18" s="232">
        <f t="shared" si="7"/>
        <v>-0.48258883901802624</v>
      </c>
    </row>
    <row r="19" spans="1:9" ht="12.75">
      <c r="A19">
        <v>2</v>
      </c>
      <c r="B19">
        <f t="shared" si="4"/>
        <v>0.01</v>
      </c>
      <c r="C19">
        <f t="shared" si="5"/>
        <v>0.009999999999</v>
      </c>
      <c r="D19" s="226">
        <f t="shared" si="0"/>
        <v>0.8335749838884817</v>
      </c>
      <c r="E19" s="227">
        <f t="shared" si="1"/>
        <v>0.1663200752053477</v>
      </c>
      <c r="F19" s="227">
        <f t="shared" si="2"/>
        <v>0.00010494087298531202</v>
      </c>
      <c r="G19" s="228">
        <f t="shared" si="3"/>
        <v>3.318521782800194E-11</v>
      </c>
      <c r="H19" s="232">
        <f t="shared" si="6"/>
        <v>0.0007257813497615869</v>
      </c>
      <c r="I19" s="232">
        <f t="shared" si="7"/>
        <v>0.7257813497615869</v>
      </c>
    </row>
    <row r="20" spans="1:9" ht="12.75">
      <c r="A20">
        <v>2.2</v>
      </c>
      <c r="B20">
        <f t="shared" si="4"/>
        <v>0.006309573444801925</v>
      </c>
      <c r="C20">
        <f t="shared" si="5"/>
        <v>0.006309573443217032</v>
      </c>
      <c r="D20" s="226">
        <f t="shared" si="0"/>
        <v>0.7595644388656508</v>
      </c>
      <c r="E20" s="227">
        <f t="shared" si="1"/>
        <v>0.24019536564831795</v>
      </c>
      <c r="F20" s="227">
        <f t="shared" si="2"/>
        <v>0.0002401953656483178</v>
      </c>
      <c r="G20" s="228">
        <f t="shared" si="3"/>
        <v>1.2038285083937163E-10</v>
      </c>
      <c r="H20" s="232">
        <f t="shared" si="6"/>
        <v>0.002004485766130292</v>
      </c>
      <c r="I20" s="232">
        <f t="shared" si="7"/>
        <v>2.004485766130292</v>
      </c>
    </row>
    <row r="21" spans="1:9" ht="12.75">
      <c r="A21">
        <v>2.4</v>
      </c>
      <c r="B21">
        <f t="shared" si="4"/>
        <v>0.003981071705534972</v>
      </c>
      <c r="C21">
        <f t="shared" si="5"/>
        <v>0.003981071703023085</v>
      </c>
      <c r="D21" s="226">
        <f t="shared" si="0"/>
        <v>0.6657871341244852</v>
      </c>
      <c r="E21" s="227">
        <f t="shared" si="1"/>
        <v>0.33368401193648023</v>
      </c>
      <c r="F21" s="227">
        <f t="shared" si="2"/>
        <v>0.0005288535189512395</v>
      </c>
      <c r="G21" s="228">
        <f t="shared" si="3"/>
        <v>4.200832821362624E-10</v>
      </c>
      <c r="H21" s="232">
        <f t="shared" si="6"/>
        <v>0.003403669514544852</v>
      </c>
      <c r="I21" s="232">
        <f t="shared" si="7"/>
        <v>3.403669514544852</v>
      </c>
    </row>
    <row r="22" spans="1:9" ht="12.75">
      <c r="A22">
        <v>2.6</v>
      </c>
      <c r="B22">
        <f t="shared" si="4"/>
        <v>0.0025118864315095777</v>
      </c>
      <c r="C22">
        <f t="shared" si="5"/>
        <v>0.002511886427528506</v>
      </c>
      <c r="D22" s="226">
        <f t="shared" si="0"/>
        <v>0.5566926003305522</v>
      </c>
      <c r="E22" s="227">
        <f t="shared" si="1"/>
        <v>0.4421966505046376</v>
      </c>
      <c r="F22" s="227">
        <f t="shared" si="2"/>
        <v>0.001110747766461582</v>
      </c>
      <c r="G22" s="228">
        <f t="shared" si="3"/>
        <v>1.3983485892920994E-09</v>
      </c>
      <c r="H22" s="232">
        <f t="shared" si="6"/>
        <v>0.0049083004974696046</v>
      </c>
      <c r="I22" s="232">
        <f t="shared" si="7"/>
        <v>4.908300497469605</v>
      </c>
    </row>
    <row r="23" spans="1:9" ht="12.75">
      <c r="A23">
        <v>2.8</v>
      </c>
      <c r="B23">
        <f t="shared" si="4"/>
        <v>0.0015848931924611134</v>
      </c>
      <c r="C23">
        <f t="shared" si="5"/>
        <v>0.00158489318615154</v>
      </c>
      <c r="D23" s="226">
        <f t="shared" si="0"/>
        <v>0.44170834704328343</v>
      </c>
      <c r="E23" s="227">
        <f t="shared" si="1"/>
        <v>0.5560778626943861</v>
      </c>
      <c r="F23" s="227">
        <f t="shared" si="2"/>
        <v>0.0022137858452469785</v>
      </c>
      <c r="G23" s="228">
        <f t="shared" si="3"/>
        <v>4.417083470432822E-09</v>
      </c>
      <c r="H23" s="232">
        <f t="shared" si="6"/>
        <v>0.006433907625731871</v>
      </c>
      <c r="I23" s="232">
        <f t="shared" si="7"/>
        <v>6.433907625731871</v>
      </c>
    </row>
    <row r="24" spans="1:9" ht="12.75">
      <c r="A24">
        <v>3</v>
      </c>
      <c r="B24">
        <f t="shared" si="4"/>
        <v>0.001</v>
      </c>
      <c r="C24">
        <f t="shared" si="5"/>
        <v>0.00099999999</v>
      </c>
      <c r="D24" s="226">
        <f t="shared" si="0"/>
        <v>0.33246320963504206</v>
      </c>
      <c r="E24" s="227">
        <f t="shared" si="1"/>
        <v>0.6633513132983972</v>
      </c>
      <c r="F24" s="227">
        <f t="shared" si="2"/>
        <v>0.004185463830962048</v>
      </c>
      <c r="G24" s="228">
        <f t="shared" si="3"/>
        <v>1.3235598770094037E-08</v>
      </c>
      <c r="H24" s="232">
        <f t="shared" si="6"/>
        <v>0.0078620469009818</v>
      </c>
      <c r="I24" s="232">
        <f t="shared" si="7"/>
        <v>7.862046900981801</v>
      </c>
    </row>
    <row r="25" spans="1:9" ht="12.75">
      <c r="A25">
        <v>3.2</v>
      </c>
      <c r="B25">
        <f t="shared" si="4"/>
        <v>0.0006309573444801924</v>
      </c>
      <c r="C25">
        <f t="shared" si="5"/>
        <v>0.0006309573286312605</v>
      </c>
      <c r="D25" s="226">
        <f t="shared" si="0"/>
        <v>0.2384415122118916</v>
      </c>
      <c r="E25" s="227">
        <f t="shared" si="1"/>
        <v>0.754018267324431</v>
      </c>
      <c r="F25" s="227">
        <f t="shared" si="2"/>
        <v>0.007540182673244306</v>
      </c>
      <c r="G25" s="228">
        <f t="shared" si="3"/>
        <v>3.7790432950476073E-08</v>
      </c>
      <c r="H25" s="232">
        <f t="shared" si="6"/>
        <v>0.009096077704178364</v>
      </c>
      <c r="I25" s="232">
        <f t="shared" si="7"/>
        <v>9.096077704178365</v>
      </c>
    </row>
    <row r="26" spans="1:9" ht="12.75">
      <c r="A26">
        <v>3.4</v>
      </c>
      <c r="B26">
        <f t="shared" si="4"/>
        <v>0.0003981071705534971</v>
      </c>
      <c r="C26">
        <f t="shared" si="5"/>
        <v>0.0003981071454346328</v>
      </c>
      <c r="D26" s="226">
        <f t="shared" si="0"/>
        <v>0.16416841221899528</v>
      </c>
      <c r="E26" s="227">
        <f t="shared" si="1"/>
        <v>0.8227911236901991</v>
      </c>
      <c r="F26" s="227">
        <f t="shared" si="2"/>
        <v>0.013040360507540245</v>
      </c>
      <c r="G26" s="228">
        <f t="shared" si="3"/>
        <v>1.0358326542122679E-07</v>
      </c>
      <c r="H26" s="232">
        <f t="shared" si="6"/>
        <v>0.010098490196953669</v>
      </c>
      <c r="I26" s="232">
        <f t="shared" si="7"/>
        <v>10.09849019695367</v>
      </c>
    </row>
    <row r="27" spans="1:9" ht="12.75">
      <c r="A27">
        <v>3.6</v>
      </c>
      <c r="B27">
        <f t="shared" si="4"/>
        <v>0.00025118864315095774</v>
      </c>
      <c r="C27">
        <f t="shared" si="5"/>
        <v>0.0002511886033402407</v>
      </c>
      <c r="D27" s="226">
        <f t="shared" si="0"/>
        <v>0.10937555092057755</v>
      </c>
      <c r="E27" s="227">
        <f t="shared" si="1"/>
        <v>0.8688008828473814</v>
      </c>
      <c r="F27" s="227">
        <f t="shared" si="2"/>
        <v>0.0218232914930788</v>
      </c>
      <c r="G27" s="228">
        <f t="shared" si="3"/>
        <v>2.747389622962839E-07</v>
      </c>
      <c r="H27" s="232">
        <f t="shared" si="6"/>
        <v>0.010891877692750337</v>
      </c>
      <c r="I27" s="232">
        <f t="shared" si="7"/>
        <v>10.891877692750338</v>
      </c>
    </row>
    <row r="28" spans="1:9" ht="12.75">
      <c r="A28">
        <v>3.8</v>
      </c>
      <c r="B28">
        <f t="shared" si="4"/>
        <v>0.0001584893192461112</v>
      </c>
      <c r="C28">
        <f t="shared" si="5"/>
        <v>0.00015848925615037675</v>
      </c>
      <c r="D28" s="226">
        <f t="shared" si="0"/>
        <v>0.07097004737812404</v>
      </c>
      <c r="E28" s="227">
        <f t="shared" si="1"/>
        <v>0.8934599612055638</v>
      </c>
      <c r="F28" s="227">
        <f t="shared" si="2"/>
        <v>0.03556928171583841</v>
      </c>
      <c r="G28" s="228">
        <f t="shared" si="3"/>
        <v>7.097004737812402E-07</v>
      </c>
      <c r="H28" s="232">
        <f t="shared" si="6"/>
        <v>0.011537902797806301</v>
      </c>
      <c r="I28" s="232">
        <f t="shared" si="7"/>
        <v>11.537902797806302</v>
      </c>
    </row>
    <row r="29" spans="1:9" ht="12.75">
      <c r="A29">
        <v>4</v>
      </c>
      <c r="B29">
        <f t="shared" si="4"/>
        <v>0.0001</v>
      </c>
      <c r="C29">
        <f t="shared" si="5"/>
        <v>9.999990000000001E-05</v>
      </c>
      <c r="D29" s="226">
        <f t="shared" si="0"/>
        <v>0.04502154385553079</v>
      </c>
      <c r="E29" s="227">
        <f t="shared" si="1"/>
        <v>0.8982978981665922</v>
      </c>
      <c r="F29" s="227">
        <f t="shared" si="2"/>
        <v>0.056678765637933115</v>
      </c>
      <c r="G29" s="228">
        <f t="shared" si="3"/>
        <v>1.7923399438275496E-06</v>
      </c>
      <c r="H29" s="232">
        <f t="shared" si="6"/>
        <v>0.012115813887775518</v>
      </c>
      <c r="I29" s="232">
        <f t="shared" si="7"/>
        <v>12.115813887775518</v>
      </c>
    </row>
    <row r="30" spans="1:9" ht="12.75">
      <c r="A30">
        <v>4.2</v>
      </c>
      <c r="B30">
        <f t="shared" si="4"/>
        <v>6.309573444801928E-05</v>
      </c>
      <c r="C30">
        <f t="shared" si="5"/>
        <v>6.309557595870004E-05</v>
      </c>
      <c r="D30" s="226">
        <f t="shared" si="0"/>
        <v>0.02794450341691109</v>
      </c>
      <c r="E30" s="227">
        <f t="shared" si="1"/>
        <v>0.8836827887979689</v>
      </c>
      <c r="F30" s="227">
        <f t="shared" si="2"/>
        <v>0.0883682788797968</v>
      </c>
      <c r="G30" s="228">
        <f t="shared" si="3"/>
        <v>4.4289053232168675E-06</v>
      </c>
      <c r="H30" s="232">
        <f t="shared" si="6"/>
        <v>0.012709600934255822</v>
      </c>
      <c r="I30" s="232">
        <f t="shared" si="7"/>
        <v>12.709600934255821</v>
      </c>
    </row>
    <row r="31" spans="1:9" ht="12.75">
      <c r="A31">
        <v>4.4</v>
      </c>
      <c r="B31">
        <f t="shared" si="4"/>
        <v>3.9810717055349634E-05</v>
      </c>
      <c r="C31">
        <f t="shared" si="5"/>
        <v>3.9810465866706486E-05</v>
      </c>
      <c r="D31" s="226">
        <f t="shared" si="0"/>
        <v>0.01693117775342058</v>
      </c>
      <c r="E31" s="227">
        <f t="shared" si="1"/>
        <v>0.848569014028849</v>
      </c>
      <c r="F31" s="227">
        <f t="shared" si="2"/>
        <v>0.13448912536677626</v>
      </c>
      <c r="G31" s="228">
        <f t="shared" si="3"/>
        <v>1.0682850954220417E-05</v>
      </c>
      <c r="H31" s="232">
        <f t="shared" si="6"/>
        <v>0.013400839567217404</v>
      </c>
      <c r="I31" s="232">
        <f t="shared" si="7"/>
        <v>13.400839567217405</v>
      </c>
    </row>
    <row r="32" spans="1:9" ht="12.75">
      <c r="A32">
        <v>4.6</v>
      </c>
      <c r="B32">
        <f t="shared" si="4"/>
        <v>2.511886431509579E-05</v>
      </c>
      <c r="C32">
        <f t="shared" si="5"/>
        <v>2.5118466207925237E-05</v>
      </c>
      <c r="D32" s="226">
        <f t="shared" si="0"/>
        <v>0.009961354079282789</v>
      </c>
      <c r="E32" s="227">
        <f t="shared" si="1"/>
        <v>0.7912584801260216</v>
      </c>
      <c r="F32" s="227">
        <f t="shared" si="2"/>
        <v>0.19875514400454436</v>
      </c>
      <c r="G32" s="228">
        <f t="shared" si="3"/>
        <v>2.5021790151212997E-05</v>
      </c>
      <c r="H32" s="232">
        <f t="shared" si="6"/>
        <v>0.01425953001089462</v>
      </c>
      <c r="I32" s="232">
        <f t="shared" si="7"/>
        <v>14.25953001089462</v>
      </c>
    </row>
    <row r="33" spans="1:9" ht="12.75">
      <c r="A33">
        <v>4.8</v>
      </c>
      <c r="B33">
        <f t="shared" si="4"/>
        <v>1.584893192461113E-05</v>
      </c>
      <c r="C33">
        <f t="shared" si="5"/>
        <v>1.584830096726665E-05</v>
      </c>
      <c r="D33" s="226">
        <f t="shared" si="0"/>
        <v>0.0056490388461886065</v>
      </c>
      <c r="E33" s="227">
        <f t="shared" si="1"/>
        <v>0.7111718555679235</v>
      </c>
      <c r="F33" s="227">
        <f t="shared" si="2"/>
        <v>0.283122615197426</v>
      </c>
      <c r="G33" s="228">
        <f t="shared" si="3"/>
        <v>5.649038846188593E-05</v>
      </c>
      <c r="H33" s="232">
        <f t="shared" si="6"/>
        <v>0.015326707866630788</v>
      </c>
      <c r="I33" s="232">
        <f t="shared" si="7"/>
        <v>15.326707866630787</v>
      </c>
    </row>
    <row r="34" spans="1:9" ht="12.75">
      <c r="A34">
        <v>5</v>
      </c>
      <c r="B34">
        <f t="shared" si="4"/>
        <v>1E-05</v>
      </c>
      <c r="C34">
        <f t="shared" si="5"/>
        <v>9.999E-06</v>
      </c>
      <c r="D34" s="226">
        <f t="shared" si="0"/>
        <v>0.0030631757008976255</v>
      </c>
      <c r="E34" s="227">
        <f t="shared" si="1"/>
        <v>0.6111839040129412</v>
      </c>
      <c r="F34" s="227">
        <f t="shared" si="2"/>
        <v>0.3856309730650419</v>
      </c>
      <c r="G34" s="228">
        <f t="shared" si="3"/>
        <v>0.00012194722111925754</v>
      </c>
      <c r="H34" s="232">
        <f t="shared" si="6"/>
        <v>0.016590881499435464</v>
      </c>
      <c r="I34" s="232">
        <f t="shared" si="7"/>
        <v>16.590881499435465</v>
      </c>
    </row>
    <row r="35" spans="1:9" ht="12.75">
      <c r="A35">
        <v>5.2</v>
      </c>
      <c r="B35">
        <f t="shared" si="4"/>
        <v>6.309573444801921E-06</v>
      </c>
      <c r="C35">
        <f t="shared" si="5"/>
        <v>6.30798855160946E-06</v>
      </c>
      <c r="D35" s="226">
        <f t="shared" si="0"/>
        <v>0.0015782479021924937</v>
      </c>
      <c r="E35" s="227">
        <f t="shared" si="1"/>
        <v>0.4990858083310937</v>
      </c>
      <c r="F35" s="227">
        <f t="shared" si="2"/>
        <v>0.4990858083310937</v>
      </c>
      <c r="G35" s="228">
        <f t="shared" si="3"/>
        <v>0.0002501354356200922</v>
      </c>
      <c r="H35" s="232">
        <f t="shared" si="6"/>
        <v>0.017974203206295006</v>
      </c>
      <c r="I35" s="232">
        <f t="shared" si="7"/>
        <v>17.974203206295005</v>
      </c>
    </row>
    <row r="36" spans="1:9" ht="12.75">
      <c r="A36">
        <v>5.4</v>
      </c>
      <c r="B36">
        <f t="shared" si="4"/>
        <v>3.981071705534966E-06</v>
      </c>
      <c r="C36">
        <f t="shared" si="5"/>
        <v>3.978559819103456E-06</v>
      </c>
      <c r="D36" s="226">
        <f t="shared" si="0"/>
        <v>0.0007709229892557508</v>
      </c>
      <c r="E36" s="227">
        <f t="shared" si="1"/>
        <v>0.38637676032475743</v>
      </c>
      <c r="F36" s="227">
        <f t="shared" si="2"/>
        <v>0.6123658971638872</v>
      </c>
      <c r="G36" s="228">
        <f t="shared" si="3"/>
        <v>0.000486419522099542</v>
      </c>
      <c r="H36" s="232">
        <f t="shared" si="6"/>
        <v>0.01934956649736984</v>
      </c>
      <c r="I36" s="232">
        <f t="shared" si="7"/>
        <v>19.34956649736984</v>
      </c>
    </row>
    <row r="37" spans="1:9" ht="12.75">
      <c r="A37">
        <v>5.6</v>
      </c>
      <c r="B37">
        <f t="shared" si="4"/>
        <v>2.5118864315095806E-06</v>
      </c>
      <c r="C37">
        <f t="shared" si="5"/>
        <v>2.5079053598040454E-06</v>
      </c>
      <c r="D37" s="226">
        <f t="shared" si="0"/>
        <v>0.00035802482109731235</v>
      </c>
      <c r="E37" s="227">
        <f t="shared" si="1"/>
        <v>0.2843892241297045</v>
      </c>
      <c r="F37" s="227">
        <f t="shared" si="2"/>
        <v>0.7143534333589402</v>
      </c>
      <c r="G37" s="228">
        <f t="shared" si="3"/>
        <v>0.0008993176902579805</v>
      </c>
      <c r="H37" s="232">
        <f t="shared" si="6"/>
        <v>0.02058871123298461</v>
      </c>
      <c r="I37" s="232">
        <f t="shared" si="7"/>
        <v>20.58871123298461</v>
      </c>
    </row>
    <row r="38" spans="1:9" ht="12.75">
      <c r="A38">
        <v>5.8</v>
      </c>
      <c r="B38">
        <f t="shared" si="4"/>
        <v>1.5848931924611111E-06</v>
      </c>
      <c r="C38">
        <f t="shared" si="5"/>
        <v>1.5785836190163092E-06</v>
      </c>
      <c r="D38" s="226">
        <f t="shared" si="0"/>
        <v>0.00015919009813834445</v>
      </c>
      <c r="E38" s="227">
        <f t="shared" si="1"/>
        <v>0.20040845985236935</v>
      </c>
      <c r="F38" s="227">
        <f t="shared" si="2"/>
        <v>0.7978404490681088</v>
      </c>
      <c r="G38" s="228">
        <f t="shared" si="3"/>
        <v>0.001591900981383447</v>
      </c>
      <c r="H38" s="232">
        <f t="shared" si="6"/>
        <v>0.021609850171603665</v>
      </c>
      <c r="I38" s="232">
        <f t="shared" si="7"/>
        <v>21.609850171603664</v>
      </c>
    </row>
    <row r="39" spans="1:9" ht="12.75">
      <c r="A39">
        <v>6</v>
      </c>
      <c r="B39">
        <f t="shared" si="4"/>
        <v>1E-06</v>
      </c>
      <c r="C39">
        <f t="shared" si="5"/>
        <v>9.9E-07</v>
      </c>
      <c r="D39" s="226">
        <f t="shared" si="0"/>
        <v>6.837453889038877E-05</v>
      </c>
      <c r="E39" s="227">
        <f t="shared" si="1"/>
        <v>0.13642514075136666</v>
      </c>
      <c r="F39" s="227">
        <f t="shared" si="2"/>
        <v>0.8607844452881875</v>
      </c>
      <c r="G39" s="228">
        <f t="shared" si="3"/>
        <v>0.002722039421555265</v>
      </c>
      <c r="H39" s="232">
        <f t="shared" si="6"/>
        <v>0.022393581298654028</v>
      </c>
      <c r="I39" s="232">
        <f t="shared" si="7"/>
        <v>22.393581298654027</v>
      </c>
    </row>
    <row r="40" spans="1:9" ht="12.75">
      <c r="A40">
        <v>6.2</v>
      </c>
      <c r="B40">
        <f t="shared" si="4"/>
        <v>6.309573444801925E-07</v>
      </c>
      <c r="C40">
        <f t="shared" si="5"/>
        <v>6.151084125555814E-07</v>
      </c>
      <c r="D40" s="226">
        <f t="shared" si="0"/>
        <v>2.861677096108665E-05</v>
      </c>
      <c r="E40" s="227">
        <f t="shared" si="1"/>
        <v>0.09049417551639954</v>
      </c>
      <c r="F40" s="227">
        <f t="shared" si="2"/>
        <v>0.9049417551639948</v>
      </c>
      <c r="G40" s="228">
        <f t="shared" si="3"/>
        <v>0.0045354525486445115</v>
      </c>
      <c r="H40" s="232">
        <f t="shared" si="6"/>
        <v>0.022967593433274994</v>
      </c>
      <c r="I40" s="232">
        <f t="shared" si="7"/>
        <v>22.967593433274995</v>
      </c>
    </row>
    <row r="41" spans="1:9" ht="12.75">
      <c r="A41">
        <v>6.4</v>
      </c>
      <c r="B41">
        <f t="shared" si="4"/>
        <v>3.981071705534962E-07</v>
      </c>
      <c r="C41">
        <f t="shared" si="5"/>
        <v>3.7298830623840034E-07</v>
      </c>
      <c r="D41" s="226">
        <f aca="true" t="shared" si="8" ref="D41:D72">$B41^3/($B41^3+$B41^2*$B$4+$B41*$B$4*$D$4+$B$4*$D$4*$F$4)</f>
        <v>1.175410600837213E-05</v>
      </c>
      <c r="E41" s="227">
        <f aca="true" t="shared" si="9" ref="E41:E72">$B41^2*$B$4/($B41^3+$B41^2*$B$4+$B41*$B$4*$D$4+$B$4*$D$4*$F$4)</f>
        <v>0.058910078740977395</v>
      </c>
      <c r="F41" s="227">
        <f aca="true" t="shared" si="10" ref="F41:F72">$B41*$B$4*$D$4/($B41^3+$B41^2*$B$4+$B41*$B$4*$D$4+$B$4*$D$4*$F$4)</f>
        <v>0.9336618276392331</v>
      </c>
      <c r="G41" s="228">
        <f aca="true" t="shared" si="11" ref="G41:G72">$B$4*$D$4*$F$4/($B41^3+$B41^2*$B$4+$B41*$B$4*$D$4+$B$4*$D$4*$F$4)</f>
        <v>0.0074163395137812</v>
      </c>
      <c r="H41" s="232">
        <f t="shared" si="6"/>
        <v>0.023381661061271132</v>
      </c>
      <c r="I41" s="232">
        <f t="shared" si="7"/>
        <v>23.38166106127113</v>
      </c>
    </row>
    <row r="42" spans="1:9" ht="12.75">
      <c r="A42">
        <v>6.6</v>
      </c>
      <c r="B42">
        <f t="shared" si="4"/>
        <v>2.511886431509578E-07</v>
      </c>
      <c r="C42">
        <f t="shared" si="5"/>
        <v>2.1137792609560805E-07</v>
      </c>
      <c r="D42" s="226">
        <f t="shared" si="8"/>
        <v>4.762303882074486E-06</v>
      </c>
      <c r="E42" s="227">
        <f t="shared" si="9"/>
        <v>0.037828324358688194</v>
      </c>
      <c r="F42" s="227">
        <f t="shared" si="10"/>
        <v>0.9502045468333215</v>
      </c>
      <c r="G42" s="228">
        <f t="shared" si="11"/>
        <v>0.011962366504108295</v>
      </c>
      <c r="H42" s="232">
        <f t="shared" si="6"/>
        <v>0.023689418770898637</v>
      </c>
      <c r="I42" s="232">
        <f t="shared" si="7"/>
        <v>23.689418770898637</v>
      </c>
    </row>
    <row r="43" spans="1:9" ht="12.75">
      <c r="A43">
        <v>6.8</v>
      </c>
      <c r="B43">
        <f t="shared" si="4"/>
        <v>1.5848931924611122E-07</v>
      </c>
      <c r="C43">
        <f t="shared" si="5"/>
        <v>9.539358479809185E-08</v>
      </c>
      <c r="D43" s="226">
        <f t="shared" si="8"/>
        <v>1.909207675772504E-06</v>
      </c>
      <c r="E43" s="227">
        <f t="shared" si="9"/>
        <v>0.024035500594224848</v>
      </c>
      <c r="F43" s="227">
        <f t="shared" si="10"/>
        <v>0.9568705134403744</v>
      </c>
      <c r="G43" s="228">
        <f t="shared" si="11"/>
        <v>0.019092076757725028</v>
      </c>
      <c r="H43" s="232">
        <f t="shared" si="6"/>
        <v>0.023940598807952185</v>
      </c>
      <c r="I43" s="232">
        <f t="shared" si="7"/>
        <v>23.940598807952185</v>
      </c>
    </row>
    <row r="44" spans="1:9" ht="12.75">
      <c r="A44">
        <v>7</v>
      </c>
      <c r="B44">
        <f t="shared" si="4"/>
        <v>1E-07</v>
      </c>
      <c r="C44">
        <f t="shared" si="5"/>
        <v>0</v>
      </c>
      <c r="D44" s="226">
        <f t="shared" si="8"/>
        <v>7.583284836209181E-07</v>
      </c>
      <c r="E44" s="227">
        <f t="shared" si="9"/>
        <v>0.015130642457363123</v>
      </c>
      <c r="F44" s="227">
        <f t="shared" si="10"/>
        <v>0.9546789985177085</v>
      </c>
      <c r="G44" s="228">
        <f t="shared" si="11"/>
        <v>0.030189600696444698</v>
      </c>
      <c r="H44" s="232">
        <f t="shared" si="6"/>
        <v>0.024180689298985373</v>
      </c>
      <c r="I44" s="232">
        <f t="shared" si="7"/>
        <v>24.180689298985374</v>
      </c>
    </row>
    <row r="45" spans="1:9" ht="12.75">
      <c r="A45">
        <v>7.2</v>
      </c>
      <c r="B45">
        <f t="shared" si="4"/>
        <v>6.309573444801918E-08</v>
      </c>
      <c r="C45">
        <f t="shared" si="5"/>
        <v>-9.539358479809255E-08</v>
      </c>
      <c r="D45" s="226">
        <f t="shared" si="8"/>
        <v>2.982945822187958E-07</v>
      </c>
      <c r="E45" s="227">
        <f t="shared" si="9"/>
        <v>0.009432902934997593</v>
      </c>
      <c r="F45" s="227">
        <f t="shared" si="10"/>
        <v>0.9432902934997599</v>
      </c>
      <c r="G45" s="228">
        <f t="shared" si="11"/>
        <v>0.047276505270660324</v>
      </c>
      <c r="H45" s="232">
        <f t="shared" si="6"/>
        <v>0.02445415084387928</v>
      </c>
      <c r="I45" s="232">
        <f t="shared" si="7"/>
        <v>24.45415084387928</v>
      </c>
    </row>
    <row r="46" spans="1:9" ht="12.75">
      <c r="A46">
        <v>7.4</v>
      </c>
      <c r="B46">
        <f t="shared" si="4"/>
        <v>3.981071705534957E-08</v>
      </c>
      <c r="C46">
        <f t="shared" si="5"/>
        <v>-2.113779260956094E-07</v>
      </c>
      <c r="D46" s="226">
        <f t="shared" si="8"/>
        <v>1.1595064072246269E-07</v>
      </c>
      <c r="E46" s="227">
        <f t="shared" si="9"/>
        <v>0.0058112980861001005</v>
      </c>
      <c r="F46" s="227">
        <f t="shared" si="10"/>
        <v>0.9210286776022365</v>
      </c>
      <c r="G46" s="228">
        <f t="shared" si="11"/>
        <v>0.07315990836102265</v>
      </c>
      <c r="H46" s="232">
        <f t="shared" si="6"/>
        <v>0.02480825834501682</v>
      </c>
      <c r="I46" s="232">
        <f t="shared" si="7"/>
        <v>24.80825834501682</v>
      </c>
    </row>
    <row r="47" spans="1:9" ht="12.75">
      <c r="A47">
        <v>7.6</v>
      </c>
      <c r="B47">
        <f t="shared" si="4"/>
        <v>2.511886431509575E-08</v>
      </c>
      <c r="C47">
        <f t="shared" si="5"/>
        <v>-3.729883062384023E-07</v>
      </c>
      <c r="D47" s="226">
        <f t="shared" si="8"/>
        <v>4.435781185437201E-08</v>
      </c>
      <c r="E47" s="227">
        <f t="shared" si="9"/>
        <v>0.0035234662386515177</v>
      </c>
      <c r="F47" s="227">
        <f t="shared" si="10"/>
        <v>0.8850547036750844</v>
      </c>
      <c r="G47" s="228">
        <f t="shared" si="11"/>
        <v>0.1114217857284522</v>
      </c>
      <c r="H47" s="232">
        <f t="shared" si="6"/>
        <v>0.025294917874972622</v>
      </c>
      <c r="I47" s="232">
        <f t="shared" si="7"/>
        <v>25.294917874972622</v>
      </c>
    </row>
    <row r="48" spans="1:9" ht="12.75">
      <c r="A48">
        <v>7.8</v>
      </c>
      <c r="B48">
        <f t="shared" si="4"/>
        <v>1.5848931924611133E-08</v>
      </c>
      <c r="C48">
        <f t="shared" si="5"/>
        <v>-6.151084125555821E-07</v>
      </c>
      <c r="D48" s="226">
        <f t="shared" si="8"/>
        <v>1.6598993426998722E-08</v>
      </c>
      <c r="E48" s="227">
        <f t="shared" si="9"/>
        <v>0.002089689463545303</v>
      </c>
      <c r="F48" s="227">
        <f t="shared" si="10"/>
        <v>0.8319203596674745</v>
      </c>
      <c r="G48" s="228">
        <f t="shared" si="11"/>
        <v>0.16598993426998676</v>
      </c>
      <c r="H48" s="232">
        <f t="shared" si="6"/>
        <v>0.025967036077734363</v>
      </c>
      <c r="I48" s="232">
        <f t="shared" si="7"/>
        <v>25.967036077734363</v>
      </c>
    </row>
    <row r="49" spans="1:9" ht="12.75">
      <c r="A49">
        <v>8</v>
      </c>
      <c r="B49">
        <f t="shared" si="4"/>
        <v>1E-08</v>
      </c>
      <c r="C49">
        <f t="shared" si="5"/>
        <v>-9.9E-07</v>
      </c>
      <c r="D49" s="226">
        <f t="shared" si="8"/>
        <v>6.02762634267738E-09</v>
      </c>
      <c r="E49" s="227">
        <f t="shared" si="9"/>
        <v>0.001202669569025786</v>
      </c>
      <c r="F49" s="227">
        <f t="shared" si="10"/>
        <v>0.7588331975596471</v>
      </c>
      <c r="G49" s="228">
        <f t="shared" si="11"/>
        <v>0.2399641268437009</v>
      </c>
      <c r="H49" s="232">
        <f t="shared" si="6"/>
        <v>0.026865522111301974</v>
      </c>
      <c r="I49" s="232">
        <f t="shared" si="7"/>
        <v>26.865522111301974</v>
      </c>
    </row>
    <row r="50" spans="1:9" ht="12.75">
      <c r="A50">
        <v>8.2</v>
      </c>
      <c r="B50">
        <f t="shared" si="4"/>
        <v>6.309573444801933E-09</v>
      </c>
      <c r="C50">
        <f t="shared" si="5"/>
        <v>-1.5785836190163115E-06</v>
      </c>
      <c r="D50" s="226">
        <f t="shared" si="8"/>
        <v>2.10511551604363E-09</v>
      </c>
      <c r="E50" s="227">
        <f t="shared" si="9"/>
        <v>0.0006656959768458596</v>
      </c>
      <c r="F50" s="227">
        <f t="shared" si="10"/>
        <v>0.6656959768458584</v>
      </c>
      <c r="G50" s="228">
        <f t="shared" si="11"/>
        <v>0.3336383250721803</v>
      </c>
      <c r="H50" s="232">
        <f t="shared" si="6"/>
        <v>0.027996302873706615</v>
      </c>
      <c r="I50" s="232">
        <f t="shared" si="7"/>
        <v>27.996302873706615</v>
      </c>
    </row>
    <row r="51" spans="1:9" ht="12.75">
      <c r="A51">
        <v>8.4</v>
      </c>
      <c r="B51">
        <f t="shared" si="4"/>
        <v>3.9810717055349665E-09</v>
      </c>
      <c r="C51">
        <f t="shared" si="5"/>
        <v>-2.507905359804049E-06</v>
      </c>
      <c r="D51" s="226">
        <f t="shared" si="8"/>
        <v>7.013671488877892E-10</v>
      </c>
      <c r="E51" s="227">
        <f t="shared" si="9"/>
        <v>0.00035151626110811854</v>
      </c>
      <c r="F51" s="227">
        <f t="shared" si="10"/>
        <v>0.5571157292696403</v>
      </c>
      <c r="G51" s="228">
        <f t="shared" si="11"/>
        <v>0.4425327537678845</v>
      </c>
      <c r="H51" s="232">
        <f t="shared" si="6"/>
        <v>0.02930721077900162</v>
      </c>
      <c r="I51" s="232">
        <f t="shared" si="7"/>
        <v>29.307210779001622</v>
      </c>
    </row>
    <row r="52" spans="1:9" ht="12.75">
      <c r="A52">
        <v>8.6</v>
      </c>
      <c r="B52">
        <f t="shared" si="4"/>
        <v>2.511886431509581E-09</v>
      </c>
      <c r="C52">
        <f t="shared" si="5"/>
        <v>-3.978559819103461E-06</v>
      </c>
      <c r="D52" s="226">
        <f t="shared" si="8"/>
        <v>2.2183066272233217E-10</v>
      </c>
      <c r="E52" s="227">
        <f t="shared" si="9"/>
        <v>0.00017620635872794734</v>
      </c>
      <c r="F52" s="227">
        <f t="shared" si="10"/>
        <v>0.44261036163443973</v>
      </c>
      <c r="G52" s="228">
        <f t="shared" si="11"/>
        <v>0.5572134317850017</v>
      </c>
      <c r="H52" s="232">
        <f t="shared" si="6"/>
        <v>0.030686144993604395</v>
      </c>
      <c r="I52" s="232">
        <f t="shared" si="7"/>
        <v>30.686144993604394</v>
      </c>
    </row>
    <row r="53" spans="1:9" ht="12.75">
      <c r="A53">
        <v>8.8</v>
      </c>
      <c r="B53">
        <f t="shared" si="4"/>
        <v>1.584893192461106E-09</v>
      </c>
      <c r="C53">
        <f t="shared" si="5"/>
        <v>-6.307988551609501E-06</v>
      </c>
      <c r="D53" s="226">
        <f t="shared" si="8"/>
        <v>6.660835654488104E-11</v>
      </c>
      <c r="E53" s="227">
        <f t="shared" si="9"/>
        <v>8.38549526921974E-05</v>
      </c>
      <c r="F53" s="227">
        <f t="shared" si="10"/>
        <v>0.3338325795318818</v>
      </c>
      <c r="G53" s="228">
        <f t="shared" si="11"/>
        <v>0.6660835654488177</v>
      </c>
      <c r="H53" s="232">
        <f t="shared" si="6"/>
        <v>0.03199477170951765</v>
      </c>
      <c r="I53" s="232">
        <f t="shared" si="7"/>
        <v>31.99477170951765</v>
      </c>
    </row>
    <row r="54" spans="1:9" ht="12.75">
      <c r="A54">
        <v>9</v>
      </c>
      <c r="B54">
        <f t="shared" si="4"/>
        <v>1E-09</v>
      </c>
      <c r="C54">
        <f t="shared" si="5"/>
        <v>-9.998999999999999E-06</v>
      </c>
      <c r="D54" s="226">
        <f t="shared" si="8"/>
        <v>1.9083253320460023E-11</v>
      </c>
      <c r="E54" s="227">
        <f t="shared" si="9"/>
        <v>3.807609619731859E-05</v>
      </c>
      <c r="F54" s="227">
        <f t="shared" si="10"/>
        <v>0.2402439254483248</v>
      </c>
      <c r="G54" s="228">
        <f t="shared" si="11"/>
        <v>0.7597179984363946</v>
      </c>
      <c r="H54" s="232">
        <f t="shared" si="6"/>
        <v>0.033120670683486016</v>
      </c>
      <c r="I54" s="232">
        <f t="shared" si="7"/>
        <v>33.12067068348602</v>
      </c>
    </row>
    <row r="55" spans="1:9" ht="12.75">
      <c r="A55">
        <v>9.2</v>
      </c>
      <c r="B55">
        <f t="shared" si="4"/>
        <v>6.309573444801927E-10</v>
      </c>
      <c r="C55">
        <f t="shared" si="5"/>
        <v>-1.5848300967266667E-05</v>
      </c>
      <c r="D55" s="226">
        <f t="shared" si="8"/>
        <v>5.259967084466465E-12</v>
      </c>
      <c r="E55" s="227">
        <f t="shared" si="9"/>
        <v>1.6633476404429308E-05</v>
      </c>
      <c r="F55" s="227">
        <f t="shared" si="10"/>
        <v>0.16633476404429293</v>
      </c>
      <c r="G55" s="228">
        <f t="shared" si="11"/>
        <v>0.8336486024740427</v>
      </c>
      <c r="H55" s="232">
        <f t="shared" si="6"/>
        <v>0.03401087556988341</v>
      </c>
      <c r="I55" s="232">
        <f t="shared" si="7"/>
        <v>34.01087556988341</v>
      </c>
    </row>
    <row r="56" spans="1:9" ht="12.75">
      <c r="A56">
        <v>9.4</v>
      </c>
      <c r="B56">
        <f t="shared" si="4"/>
        <v>3.981071705534962E-10</v>
      </c>
      <c r="C56">
        <f t="shared" si="5"/>
        <v>-2.511846620792531E-05</v>
      </c>
      <c r="D56" s="226">
        <f t="shared" si="8"/>
        <v>1.4076672088977139E-12</v>
      </c>
      <c r="E56" s="227">
        <f t="shared" si="9"/>
        <v>7.055048342952701E-06</v>
      </c>
      <c r="F56" s="227">
        <f t="shared" si="10"/>
        <v>0.11181498091229806</v>
      </c>
      <c r="G56" s="228">
        <f t="shared" si="11"/>
        <v>0.8881779640379514</v>
      </c>
      <c r="H56" s="232">
        <f t="shared" si="6"/>
        <v>0.034669773639162384</v>
      </c>
      <c r="I56" s="232">
        <f t="shared" si="7"/>
        <v>34.669773639162386</v>
      </c>
    </row>
    <row r="57" spans="1:9" ht="12.75">
      <c r="A57">
        <v>9.6</v>
      </c>
      <c r="B57">
        <f t="shared" si="4"/>
        <v>2.5118864315095784E-10</v>
      </c>
      <c r="C57">
        <f t="shared" si="5"/>
        <v>-3.981046586670661E-05</v>
      </c>
      <c r="D57" s="226">
        <f t="shared" si="8"/>
        <v>3.688103563424472E-13</v>
      </c>
      <c r="E57" s="227">
        <f t="shared" si="9"/>
        <v>2.9295647930152927E-06</v>
      </c>
      <c r="F57" s="227">
        <f t="shared" si="10"/>
        <v>0.07358734053803277</v>
      </c>
      <c r="G57" s="228">
        <f t="shared" si="11"/>
        <v>0.9264097298968054</v>
      </c>
      <c r="H57" s="232">
        <f t="shared" si="6"/>
        <v>0.035135646524445965</v>
      </c>
      <c r="I57" s="232">
        <f t="shared" si="7"/>
        <v>35.13564652444597</v>
      </c>
    </row>
    <row r="58" spans="1:9" ht="12.75">
      <c r="A58">
        <v>9.8</v>
      </c>
      <c r="B58">
        <f t="shared" si="4"/>
        <v>1.5848931924611098E-10</v>
      </c>
      <c r="C58">
        <f t="shared" si="5"/>
        <v>-6.309557595870023E-05</v>
      </c>
      <c r="D58" s="226">
        <f t="shared" si="8"/>
        <v>9.522721373427921E-14</v>
      </c>
      <c r="E58" s="227">
        <f t="shared" si="9"/>
        <v>1.198839592644388E-06</v>
      </c>
      <c r="F58" s="227">
        <f t="shared" si="10"/>
        <v>0.04772666381751648</v>
      </c>
      <c r="G58" s="228">
        <f t="shared" si="11"/>
        <v>0.9522721373427957</v>
      </c>
      <c r="H58" s="232">
        <f t="shared" si="6"/>
        <v>0.035457194652335884</v>
      </c>
      <c r="I58" s="232">
        <f t="shared" si="7"/>
        <v>35.457194652335886</v>
      </c>
    </row>
    <row r="59" spans="1:9" ht="12.75">
      <c r="A59">
        <v>10</v>
      </c>
      <c r="B59">
        <f t="shared" si="4"/>
        <v>1E-10</v>
      </c>
      <c r="C59">
        <f t="shared" si="5"/>
        <v>-9.99999E-05</v>
      </c>
      <c r="D59" s="226">
        <f t="shared" si="8"/>
        <v>2.4348873136066335E-14</v>
      </c>
      <c r="E59" s="227">
        <f t="shared" si="9"/>
        <v>4.858238898035124E-07</v>
      </c>
      <c r="F59" s="227">
        <f t="shared" si="10"/>
        <v>0.030653415139546166</v>
      </c>
      <c r="G59" s="228">
        <f t="shared" si="11"/>
        <v>0.9693460990365397</v>
      </c>
      <c r="H59" s="232">
        <f t="shared" si="6"/>
        <v>0.03567982713800939</v>
      </c>
      <c r="I59" s="232">
        <f t="shared" si="7"/>
        <v>35.679827138009394</v>
      </c>
    </row>
    <row r="60" spans="1:9" ht="12.75">
      <c r="A60">
        <v>10.2</v>
      </c>
      <c r="B60">
        <f t="shared" si="4"/>
        <v>6.309573444801919E-11</v>
      </c>
      <c r="C60">
        <f t="shared" si="5"/>
        <v>-0.00015848925615037724</v>
      </c>
      <c r="D60" s="226">
        <f t="shared" si="8"/>
        <v>6.186142441616318E-15</v>
      </c>
      <c r="E60" s="227">
        <f t="shared" si="9"/>
        <v>1.9562300045742784E-07</v>
      </c>
      <c r="F60" s="227">
        <f t="shared" si="10"/>
        <v>0.019562300045742786</v>
      </c>
      <c r="G60" s="228">
        <f t="shared" si="11"/>
        <v>0.9804375043312505</v>
      </c>
      <c r="H60" s="232">
        <f t="shared" si="6"/>
        <v>0.03584107066152468</v>
      </c>
      <c r="I60" s="232">
        <f t="shared" si="7"/>
        <v>35.841070661524675</v>
      </c>
    </row>
    <row r="61" spans="1:9" ht="12.75">
      <c r="A61">
        <v>10.4</v>
      </c>
      <c r="B61">
        <f t="shared" si="4"/>
        <v>3.981071705534958E-11</v>
      </c>
      <c r="C61">
        <f t="shared" si="5"/>
        <v>-0.00025118860334024187</v>
      </c>
      <c r="D61" s="226">
        <f t="shared" si="8"/>
        <v>1.5651885122110477E-15</v>
      </c>
      <c r="E61" s="227">
        <f t="shared" si="9"/>
        <v>7.844525005402434E-08</v>
      </c>
      <c r="F61" s="227">
        <f t="shared" si="10"/>
        <v>0.01243273427915332</v>
      </c>
      <c r="G61" s="228">
        <f t="shared" si="11"/>
        <v>0.9875671872755951</v>
      </c>
      <c r="H61" s="232">
        <f t="shared" si="6"/>
        <v>0.03597130375386754</v>
      </c>
      <c r="I61" s="232">
        <f t="shared" si="7"/>
        <v>35.97130375386754</v>
      </c>
    </row>
    <row r="62" spans="1:9" ht="12.75">
      <c r="A62">
        <v>10.6</v>
      </c>
      <c r="B62">
        <f t="shared" si="4"/>
        <v>2.511886431509576E-11</v>
      </c>
      <c r="C62">
        <f t="shared" si="5"/>
        <v>-0.00039810714543463366</v>
      </c>
      <c r="D62" s="226">
        <f t="shared" si="8"/>
        <v>3.9496980141220294E-16</v>
      </c>
      <c r="E62" s="227">
        <f t="shared" si="9"/>
        <v>3.137356651251555E-08</v>
      </c>
      <c r="F62" s="227">
        <f t="shared" si="10"/>
        <v>0.007880683603085114</v>
      </c>
      <c r="G62" s="228">
        <f t="shared" si="11"/>
        <v>0.992119285023348</v>
      </c>
      <c r="H62" s="232">
        <f t="shared" si="6"/>
        <v>0.03609690827236279</v>
      </c>
      <c r="I62" s="232">
        <f t="shared" si="7"/>
        <v>36.09690827236279</v>
      </c>
    </row>
    <row r="63" spans="1:9" ht="12.75">
      <c r="A63">
        <v>10.8</v>
      </c>
      <c r="B63">
        <f t="shared" si="4"/>
        <v>1.5848931924611082E-11</v>
      </c>
      <c r="C63">
        <f t="shared" si="5"/>
        <v>-0.0006309573286312634</v>
      </c>
      <c r="D63" s="226">
        <f t="shared" si="8"/>
        <v>9.950131087993E-17</v>
      </c>
      <c r="E63" s="227">
        <f t="shared" si="9"/>
        <v>1.2526472877357566E-08</v>
      </c>
      <c r="F63" s="227">
        <f t="shared" si="10"/>
        <v>0.0049868786742199534</v>
      </c>
      <c r="G63" s="228">
        <f t="shared" si="11"/>
        <v>0.995013108799307</v>
      </c>
      <c r="H63" s="232">
        <f t="shared" si="6"/>
        <v>0.03624455974062336</v>
      </c>
      <c r="I63" s="232">
        <f t="shared" si="7"/>
        <v>36.24455974062336</v>
      </c>
    </row>
    <row r="64" spans="1:9" ht="12.75">
      <c r="A64">
        <v>11</v>
      </c>
      <c r="B64">
        <f t="shared" si="4"/>
        <v>1E-11</v>
      </c>
      <c r="C64">
        <f t="shared" si="5"/>
        <v>-0.00099999999</v>
      </c>
      <c r="D64" s="226">
        <f t="shared" si="8"/>
        <v>2.5039681763342243E-17</v>
      </c>
      <c r="E64" s="227">
        <f t="shared" si="9"/>
        <v>4.996073340121025E-09</v>
      </c>
      <c r="F64" s="227">
        <f t="shared" si="10"/>
        <v>0.003152309167511046</v>
      </c>
      <c r="G64" s="228">
        <f t="shared" si="11"/>
        <v>0.9968476858364156</v>
      </c>
      <c r="H64" s="232">
        <f t="shared" si="6"/>
        <v>0.03644663855074691</v>
      </c>
      <c r="I64" s="232">
        <f t="shared" si="7"/>
        <v>36.44663855074691</v>
      </c>
    </row>
    <row r="65" spans="1:9" ht="12.75">
      <c r="A65">
        <v>11.2</v>
      </c>
      <c r="B65">
        <f t="shared" si="4"/>
        <v>6.3095734448019345E-12</v>
      </c>
      <c r="C65">
        <f t="shared" si="5"/>
        <v>-0.0015848931861515395</v>
      </c>
      <c r="D65" s="226">
        <f t="shared" si="8"/>
        <v>6.297009246990242E-18</v>
      </c>
      <c r="E65" s="227">
        <f t="shared" si="9"/>
        <v>1.9912891667630932E-09</v>
      </c>
      <c r="F65" s="227">
        <f t="shared" si="10"/>
        <v>0.001991289166763089</v>
      </c>
      <c r="G65" s="228">
        <f t="shared" si="11"/>
        <v>0.9980087088419478</v>
      </c>
      <c r="H65" s="232">
        <f t="shared" si="6"/>
        <v>0.036748719617766</v>
      </c>
      <c r="I65" s="232">
        <f t="shared" si="7"/>
        <v>36.748719617766</v>
      </c>
    </row>
    <row r="66" spans="1:9" ht="12.75">
      <c r="A66">
        <v>11.4</v>
      </c>
      <c r="B66">
        <f t="shared" si="4"/>
        <v>3.981071705534953E-12</v>
      </c>
      <c r="C66">
        <f t="shared" si="5"/>
        <v>-0.0025118864275285205</v>
      </c>
      <c r="D66" s="226">
        <f t="shared" si="8"/>
        <v>1.5829004376184951E-18</v>
      </c>
      <c r="E66" s="227">
        <f t="shared" si="9"/>
        <v>7.933294914374154E-10</v>
      </c>
      <c r="F66" s="227">
        <f t="shared" si="10"/>
        <v>0.0012573425103578008</v>
      </c>
      <c r="G66" s="228">
        <f t="shared" si="11"/>
        <v>0.9987426566963128</v>
      </c>
      <c r="H66" s="232">
        <f t="shared" si="6"/>
        <v>0.037221294896802364</v>
      </c>
      <c r="I66" s="232">
        <f t="shared" si="7"/>
        <v>37.22129489680236</v>
      </c>
    </row>
    <row r="67" spans="1:9" ht="12.75">
      <c r="A67">
        <v>11.6</v>
      </c>
      <c r="B67">
        <f t="shared" si="4"/>
        <v>2.5118864315095726E-12</v>
      </c>
      <c r="C67">
        <f t="shared" si="5"/>
        <v>-0.003981071703023098</v>
      </c>
      <c r="D67" s="226">
        <f t="shared" si="8"/>
        <v>3.977911936510606E-19</v>
      </c>
      <c r="E67" s="227">
        <f t="shared" si="9"/>
        <v>3.159767766417125E-10</v>
      </c>
      <c r="F67" s="227">
        <f t="shared" si="10"/>
        <v>0.0007936977779184518</v>
      </c>
      <c r="G67" s="228">
        <f t="shared" si="11"/>
        <v>0.9992063019061048</v>
      </c>
      <c r="H67" s="232">
        <f t="shared" si="6"/>
        <v>0.03798022418106128</v>
      </c>
      <c r="I67" s="232">
        <f t="shared" si="7"/>
        <v>37.980224181061274</v>
      </c>
    </row>
    <row r="68" spans="1:9" ht="12.75">
      <c r="A68">
        <v>11.8</v>
      </c>
      <c r="B68">
        <f t="shared" si="4"/>
        <v>1.5848931924611065E-12</v>
      </c>
      <c r="C68">
        <f t="shared" si="5"/>
        <v>-0.006309573443217067</v>
      </c>
      <c r="D68" s="226">
        <f t="shared" si="8"/>
        <v>9.9949906370341E-20</v>
      </c>
      <c r="E68" s="227">
        <f t="shared" si="9"/>
        <v>1.2582947703607045E-10</v>
      </c>
      <c r="F68" s="227">
        <f t="shared" si="10"/>
        <v>0.0005009361707505639</v>
      </c>
      <c r="G68" s="228">
        <f t="shared" si="11"/>
        <v>0.99949906370342</v>
      </c>
      <c r="H68" s="232">
        <f t="shared" si="6"/>
        <v>0.03922613966736867</v>
      </c>
      <c r="I68" s="232">
        <f t="shared" si="7"/>
        <v>39.22613966736867</v>
      </c>
    </row>
    <row r="69" spans="1:9" ht="12.75">
      <c r="A69">
        <v>12</v>
      </c>
      <c r="B69">
        <f t="shared" si="4"/>
        <v>1E-12</v>
      </c>
      <c r="C69">
        <f t="shared" si="5"/>
        <v>-0.009999999999</v>
      </c>
      <c r="D69" s="226">
        <f t="shared" si="8"/>
        <v>2.511092354258286E-20</v>
      </c>
      <c r="E69" s="227">
        <f t="shared" si="9"/>
        <v>5.010287943858037E-11</v>
      </c>
      <c r="F69" s="227">
        <f t="shared" si="10"/>
        <v>0.00031612779761377893</v>
      </c>
      <c r="G69" s="228">
        <f t="shared" si="11"/>
        <v>0.9996838721522834</v>
      </c>
      <c r="H69" s="232">
        <f t="shared" si="6"/>
        <v>0.041329118294103205</v>
      </c>
      <c r="I69" s="232">
        <f t="shared" si="7"/>
        <v>41.3291182941032</v>
      </c>
    </row>
    <row r="70" spans="1:9" ht="12.75">
      <c r="A70">
        <v>12.2</v>
      </c>
      <c r="B70">
        <f t="shared" si="4"/>
        <v>6.309573444801928E-13</v>
      </c>
      <c r="C70">
        <f t="shared" si="5"/>
        <v>-0.015848931923980188</v>
      </c>
      <c r="D70" s="226">
        <f t="shared" si="8"/>
        <v>6.3083147704028364E-21</v>
      </c>
      <c r="E70" s="227">
        <f t="shared" si="9"/>
        <v>1.9948642871755108E-11</v>
      </c>
      <c r="F70" s="227">
        <f t="shared" si="10"/>
        <v>0.00019948642871755087</v>
      </c>
      <c r="G70" s="228">
        <f t="shared" si="11"/>
        <v>0.9998005135513338</v>
      </c>
      <c r="H70" s="232">
        <f t="shared" si="6"/>
        <v>0.045037429541615416</v>
      </c>
      <c r="I70" s="232">
        <f t="shared" si="7"/>
        <v>45.03742954161542</v>
      </c>
    </row>
    <row r="71" spans="1:9" ht="12.75">
      <c r="A71">
        <v>12.4</v>
      </c>
      <c r="B71">
        <f t="shared" si="4"/>
        <v>3.981071705534963E-13</v>
      </c>
      <c r="C71">
        <f t="shared" si="5"/>
        <v>-0.02511886431469775</v>
      </c>
      <c r="D71" s="226">
        <f t="shared" si="8"/>
        <v>1.5846936913327268E-21</v>
      </c>
      <c r="E71" s="227">
        <f t="shared" si="9"/>
        <v>7.94228247305641E-12</v>
      </c>
      <c r="F71" s="227">
        <f t="shared" si="10"/>
        <v>0.0001258766942415033</v>
      </c>
      <c r="G71" s="228">
        <f t="shared" si="11"/>
        <v>0.9998741232978162</v>
      </c>
      <c r="H71" s="232">
        <f t="shared" si="6"/>
        <v>0.05209957466617281</v>
      </c>
      <c r="I71" s="232">
        <f t="shared" si="7"/>
        <v>52.099574666172806</v>
      </c>
    </row>
    <row r="72" spans="1:9" ht="12.75">
      <c r="A72">
        <v>12.6</v>
      </c>
      <c r="B72">
        <f t="shared" si="4"/>
        <v>2.511886431509579E-13</v>
      </c>
      <c r="C72">
        <f t="shared" si="5"/>
        <v>-0.03981071705509855</v>
      </c>
      <c r="D72" s="226">
        <f t="shared" si="8"/>
        <v>3.9807555028732443E-22</v>
      </c>
      <c r="E72" s="227">
        <f t="shared" si="9"/>
        <v>3.162026491466273E-12</v>
      </c>
      <c r="F72" s="227">
        <f t="shared" si="10"/>
        <v>7.942651439987963E-05</v>
      </c>
      <c r="G72" s="228">
        <f t="shared" si="11"/>
        <v>0.9999205734824381</v>
      </c>
      <c r="H72" s="232">
        <f t="shared" si="6"/>
        <v>0.06774683288001732</v>
      </c>
      <c r="I72" s="232">
        <f t="shared" si="7"/>
        <v>67.74683288001732</v>
      </c>
    </row>
    <row r="73" spans="1:9" ht="12.75">
      <c r="A73">
        <v>12.8</v>
      </c>
      <c r="B73">
        <f t="shared" si="4"/>
        <v>1.5848931924611046E-13</v>
      </c>
      <c r="C73">
        <f t="shared" si="5"/>
        <v>-0.0630957344478612</v>
      </c>
      <c r="D73" s="226">
        <f aca="true" t="shared" si="12" ref="D73:D79">$B73^3/($B73^3+$B73^2*$B$4+$B73*$B$4*$D$4+$B$4*$D$4*$F$4)</f>
        <v>9.999498837871251E-23</v>
      </c>
      <c r="E73" s="227">
        <f aca="true" t="shared" si="13" ref="E73:E79">$B73^2*$B$4/($B73^3+$B73^2*$B$4+$B73*$B$4*$D$4+$B$4*$D$4*$F$4)</f>
        <v>1.2588623192202424E-12</v>
      </c>
      <c r="F73" s="227">
        <f aca="true" t="shared" si="14" ref="F73:F79">$B73*$B$4*$D$4/($B73^3+$B73^2*$B$4+$B73*$B$4*$D$4+$B$4*$D$4*$F$4)</f>
        <v>5.01162116021186E-05</v>
      </c>
      <c r="G73" s="228">
        <f aca="true" t="shared" si="15" ref="G73:G79">$B$4*$D$4*$F$4/($B73^3+$B73^2*$B$4+$B73*$B$4*$D$4+$B$4*$D$4*$F$4)</f>
        <v>0.999949883787139</v>
      </c>
      <c r="H73" s="232">
        <f t="shared" si="6"/>
        <v>0.11806463585521414</v>
      </c>
      <c r="I73" s="232">
        <f t="shared" si="7"/>
        <v>118.06463585521414</v>
      </c>
    </row>
    <row r="74" spans="1:9" ht="12.75">
      <c r="A74">
        <v>13</v>
      </c>
      <c r="B74">
        <f aca="true" t="shared" si="16" ref="B74:B79">10^-A74</f>
        <v>1E-13</v>
      </c>
      <c r="C74">
        <f aca="true" t="shared" si="17" ref="C74:C79">B74-$B$2/B74</f>
        <v>-0.09999999999989999</v>
      </c>
      <c r="D74" s="226">
        <f t="shared" si="12"/>
        <v>2.511807001196664E-23</v>
      </c>
      <c r="E74" s="227">
        <f t="shared" si="13"/>
        <v>5.01171385196269E-13</v>
      </c>
      <c r="F74" s="227">
        <f t="shared" si="14"/>
        <v>3.1621776633289737E-05</v>
      </c>
      <c r="G74" s="228">
        <f t="shared" si="15"/>
        <v>0.9999683782228656</v>
      </c>
      <c r="H74" s="232">
        <f aca="true" t="shared" si="18" ref="H74:H79">$H$4*($H$3*(3*G74+2*F74+E74)-C74)/($K$3+C74)</f>
        <v>47991357995.68598</v>
      </c>
      <c r="I74" s="232">
        <f aca="true" t="shared" si="19" ref="I74:I79">H74*1000</f>
        <v>47991357995685.984</v>
      </c>
    </row>
    <row r="75" spans="1:9" ht="12.75">
      <c r="A75">
        <v>13.2</v>
      </c>
      <c r="B75">
        <f t="shared" si="16"/>
        <v>6.309573444801921E-14</v>
      </c>
      <c r="C75">
        <f t="shared" si="17"/>
        <v>-0.15848931924604853</v>
      </c>
      <c r="D75" s="226">
        <f t="shared" si="12"/>
        <v>6.309447554771317E-24</v>
      </c>
      <c r="E75" s="227">
        <f t="shared" si="13"/>
        <v>1.9952225050457361E-13</v>
      </c>
      <c r="F75" s="227">
        <f t="shared" si="14"/>
        <v>1.995222505045736E-05</v>
      </c>
      <c r="G75" s="228">
        <f t="shared" si="15"/>
        <v>0.99998004777475</v>
      </c>
      <c r="H75" s="232">
        <f t="shared" si="18"/>
        <v>-0.09406585611190443</v>
      </c>
      <c r="I75" s="232">
        <f t="shared" si="19"/>
        <v>-94.06585611190444</v>
      </c>
    </row>
    <row r="76" spans="1:9" ht="12.75">
      <c r="A76">
        <v>13.4</v>
      </c>
      <c r="B76">
        <f t="shared" si="16"/>
        <v>3.981071705534959E-14</v>
      </c>
      <c r="C76">
        <f t="shared" si="17"/>
        <v>-0.25118864315091904</v>
      </c>
      <c r="D76" s="226">
        <f t="shared" si="12"/>
        <v>1.5848732400890123E-24</v>
      </c>
      <c r="E76" s="227">
        <f t="shared" si="13"/>
        <v>7.943182348501058E-14</v>
      </c>
      <c r="F76" s="227">
        <f t="shared" si="14"/>
        <v>1.2589095630616628E-05</v>
      </c>
      <c r="G76" s="228">
        <f t="shared" si="15"/>
        <v>0.9999874109042899</v>
      </c>
      <c r="H76" s="232">
        <f t="shared" si="18"/>
        <v>-0.04374831649420669</v>
      </c>
      <c r="I76" s="232">
        <f t="shared" si="19"/>
        <v>-43.74831649420669</v>
      </c>
    </row>
    <row r="77" spans="1:9" ht="12.75">
      <c r="A77">
        <v>13.6</v>
      </c>
      <c r="B77">
        <f t="shared" si="16"/>
        <v>2.511886431509576E-14</v>
      </c>
      <c r="C77">
        <f t="shared" si="17"/>
        <v>-0.3981071705534728</v>
      </c>
      <c r="D77" s="226">
        <f t="shared" si="12"/>
        <v>3.9810400830094243E-25</v>
      </c>
      <c r="E77" s="227">
        <f t="shared" si="13"/>
        <v>3.162252541503486E-14</v>
      </c>
      <c r="F77" s="227">
        <f t="shared" si="14"/>
        <v>7.94321925200929E-06</v>
      </c>
      <c r="G77" s="228">
        <f t="shared" si="15"/>
        <v>0.9999920567807165</v>
      </c>
      <c r="H77" s="232">
        <f t="shared" si="18"/>
        <v>-0.028101559916271206</v>
      </c>
      <c r="I77" s="232">
        <f t="shared" si="19"/>
        <v>-28.101559916271206</v>
      </c>
    </row>
    <row r="78" spans="1:9" ht="12.75">
      <c r="A78">
        <v>13.8</v>
      </c>
      <c r="B78">
        <f t="shared" si="16"/>
        <v>1.5848931924611084E-14</v>
      </c>
      <c r="C78">
        <f t="shared" si="17"/>
        <v>-0.6309573444801794</v>
      </c>
      <c r="D78" s="226">
        <f t="shared" si="12"/>
        <v>9.999949881527633E-26</v>
      </c>
      <c r="E78" s="227">
        <f t="shared" si="13"/>
        <v>1.2589191022523241E-14</v>
      </c>
      <c r="F78" s="227">
        <f t="shared" si="14"/>
        <v>5.011847217534223E-06</v>
      </c>
      <c r="G78" s="228">
        <f t="shared" si="15"/>
        <v>0.99999498815277</v>
      </c>
      <c r="H78" s="232">
        <f t="shared" si="18"/>
        <v>-0.021040262905643814</v>
      </c>
      <c r="I78" s="232">
        <f t="shared" si="19"/>
        <v>-21.040262905643814</v>
      </c>
    </row>
    <row r="79" spans="1:9" ht="12.75">
      <c r="A79">
        <v>14</v>
      </c>
      <c r="B79">
        <f t="shared" si="16"/>
        <v>1E-14</v>
      </c>
      <c r="C79">
        <f t="shared" si="17"/>
        <v>-0.99999999999999</v>
      </c>
      <c r="D79" s="229">
        <f t="shared" si="12"/>
        <v>2.511878488252347E-26</v>
      </c>
      <c r="E79" s="230">
        <f t="shared" si="13"/>
        <v>5.011856487390903E-15</v>
      </c>
      <c r="F79" s="230">
        <f t="shared" si="14"/>
        <v>3.162267660199988E-06</v>
      </c>
      <c r="G79" s="231">
        <f t="shared" si="15"/>
        <v>0.9999968377323348</v>
      </c>
      <c r="H79" s="232">
        <f t="shared" si="18"/>
        <v>-0.0173333291169765</v>
      </c>
      <c r="I79" s="233">
        <f t="shared" si="19"/>
        <v>-17.3333291169765</v>
      </c>
    </row>
  </sheetData>
  <mergeCells count="1">
    <mergeCell ref="D6:G6"/>
  </mergeCells>
  <printOptions/>
  <pageMargins left="0.75" right="0.75" top="1" bottom="1" header="0.5" footer="0.5"/>
  <pageSetup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J17" sqref="J17"/>
    </sheetView>
  </sheetViews>
  <sheetFormatPr defaultColWidth="9.140625" defaultRowHeight="12.75"/>
  <cols>
    <col min="4" max="4" width="15.140625" style="0" customWidth="1"/>
    <col min="5" max="5" width="14.140625" style="0" customWidth="1"/>
    <col min="6" max="6" width="15.140625" style="0" customWidth="1"/>
    <col min="7" max="7" width="11.140625" style="0" customWidth="1"/>
  </cols>
  <sheetData>
    <row r="1" ht="14.25">
      <c r="A1" s="1" t="s">
        <v>90</v>
      </c>
    </row>
    <row r="2" spans="1:2" ht="15.75">
      <c r="A2" s="209" t="s">
        <v>3</v>
      </c>
      <c r="B2">
        <f>10^-14</f>
        <v>1E-14</v>
      </c>
    </row>
    <row r="3" spans="1:10" ht="15.75">
      <c r="A3" t="s">
        <v>80</v>
      </c>
      <c r="B3" s="239">
        <v>2.85</v>
      </c>
      <c r="C3" t="s">
        <v>82</v>
      </c>
      <c r="D3" s="239">
        <v>5.7</v>
      </c>
      <c r="G3" s="209" t="s">
        <v>86</v>
      </c>
      <c r="H3" s="239">
        <v>0.1</v>
      </c>
      <c r="I3" s="209" t="s">
        <v>88</v>
      </c>
      <c r="J3" s="239">
        <v>0.1</v>
      </c>
    </row>
    <row r="4" spans="1:8" ht="15.75">
      <c r="A4" s="209" t="s">
        <v>81</v>
      </c>
      <c r="B4" s="208">
        <f>10^-B3</f>
        <v>0.0014125375446227527</v>
      </c>
      <c r="C4" s="209" t="s">
        <v>83</v>
      </c>
      <c r="D4" s="208">
        <f>10^-D3</f>
        <v>1.995262314968875E-06</v>
      </c>
      <c r="G4" s="209" t="s">
        <v>87</v>
      </c>
      <c r="H4" s="239">
        <v>0.025</v>
      </c>
    </row>
    <row r="6" spans="4:6" ht="12.75">
      <c r="D6" s="271" t="s">
        <v>93</v>
      </c>
      <c r="E6" s="272"/>
      <c r="F6" s="273"/>
    </row>
    <row r="7" spans="4:6" ht="15">
      <c r="D7" s="235" t="s">
        <v>91</v>
      </c>
      <c r="E7" s="237" t="s">
        <v>95</v>
      </c>
      <c r="F7" s="238" t="s">
        <v>92</v>
      </c>
    </row>
    <row r="8" spans="1:8" ht="15">
      <c r="A8" s="1" t="s">
        <v>2</v>
      </c>
      <c r="B8" s="1" t="s">
        <v>65</v>
      </c>
      <c r="C8" s="1" t="s">
        <v>64</v>
      </c>
      <c r="D8" s="240" t="s">
        <v>67</v>
      </c>
      <c r="E8" s="240" t="s">
        <v>68</v>
      </c>
      <c r="F8" s="240" t="s">
        <v>69</v>
      </c>
      <c r="G8" s="234" t="s">
        <v>96</v>
      </c>
      <c r="H8" s="234" t="s">
        <v>79</v>
      </c>
    </row>
    <row r="9" spans="1:8" ht="12.75">
      <c r="A9">
        <v>0</v>
      </c>
      <c r="B9">
        <f aca="true" t="shared" si="0" ref="B9:B40">10^-A9</f>
        <v>1</v>
      </c>
      <c r="C9">
        <f aca="true" t="shared" si="1" ref="C9:C40">B9-$B$2/B9</f>
        <v>0.99999999999999</v>
      </c>
      <c r="D9" s="226">
        <f>$B9^2/($B9^2+$B9*$B$4+$B$4*$D$4)</f>
        <v>0.9985894520928472</v>
      </c>
      <c r="E9" s="227">
        <f>$B9*$B$4/($B9^2+$B9*$B$4+$B$4*$D$4)</f>
        <v>0.0014105450927454103</v>
      </c>
      <c r="F9" s="227">
        <f>$B$4*$D$4/($B9^2+$B9*$B$4+$B$4*$D$4)</f>
        <v>2.8144074671191935E-09</v>
      </c>
      <c r="G9" s="232">
        <f aca="true" t="shared" si="2" ref="G9:G40">$H$4*($H$3*(2*F9+E9)-C9)/($J$3+C9)</f>
        <v>-0.02272406693017825</v>
      </c>
      <c r="H9" s="232">
        <f aca="true" t="shared" si="3" ref="H9:H40">G9*1000</f>
        <v>-22.724066930178253</v>
      </c>
    </row>
    <row r="10" spans="1:8" ht="12.75">
      <c r="A10">
        <v>0.2</v>
      </c>
      <c r="B10">
        <f t="shared" si="0"/>
        <v>0.6309573444801932</v>
      </c>
      <c r="C10">
        <f t="shared" si="1"/>
        <v>0.6309573444801774</v>
      </c>
      <c r="D10" s="226">
        <f aca="true" t="shared" si="4" ref="D10:D73">$B10^2/($B10^2+$B10*$B$4+$B$4*$D$4)</f>
        <v>0.9977662724907801</v>
      </c>
      <c r="E10" s="227">
        <f aca="true" t="shared" si="5" ref="E10:E73">$B10*$B$4/($B10^2+$B10*$B$4+$B$4*$D$4)</f>
        <v>0.0022337204455756448</v>
      </c>
      <c r="F10" s="227">
        <f aca="true" t="shared" si="6" ref="F10:F73">$B$4*$D$4/($B10^2+$B10*$B$4+$B$4*$D$4)</f>
        <v>7.063644264105203E-09</v>
      </c>
      <c r="G10" s="232">
        <f t="shared" si="2"/>
        <v>-0.021572188027997704</v>
      </c>
      <c r="H10" s="232">
        <f t="shared" si="3"/>
        <v>-21.572188027997704</v>
      </c>
    </row>
    <row r="11" spans="1:8" ht="12.75">
      <c r="A11">
        <v>0.4</v>
      </c>
      <c r="B11">
        <f t="shared" si="0"/>
        <v>0.3981071705534972</v>
      </c>
      <c r="C11">
        <f t="shared" si="1"/>
        <v>0.39810717055347206</v>
      </c>
      <c r="D11" s="226">
        <f t="shared" si="4"/>
        <v>0.9964643931940811</v>
      </c>
      <c r="E11" s="227">
        <f t="shared" si="5"/>
        <v>0.003535589085997697</v>
      </c>
      <c r="F11" s="227">
        <f t="shared" si="6"/>
        <v>1.771992113253958E-08</v>
      </c>
      <c r="G11" s="232">
        <f t="shared" si="2"/>
        <v>-0.019963254476889177</v>
      </c>
      <c r="H11" s="232">
        <f t="shared" si="3"/>
        <v>-19.963254476889176</v>
      </c>
    </row>
    <row r="12" spans="1:8" ht="12.75">
      <c r="A12">
        <v>0.6</v>
      </c>
      <c r="B12">
        <f t="shared" si="0"/>
        <v>0.251188643150958</v>
      </c>
      <c r="C12">
        <f t="shared" si="1"/>
        <v>0.2511886431509182</v>
      </c>
      <c r="D12" s="226">
        <f t="shared" si="4"/>
        <v>0.9944079885209792</v>
      </c>
      <c r="E12" s="227">
        <f t="shared" si="5"/>
        <v>0.0055919670604475625</v>
      </c>
      <c r="F12" s="227">
        <f t="shared" si="6"/>
        <v>4.4418573237616315E-08</v>
      </c>
      <c r="G12" s="232">
        <f t="shared" si="2"/>
        <v>-0.017841510712908678</v>
      </c>
      <c r="H12" s="232">
        <f t="shared" si="3"/>
        <v>-17.84151071290868</v>
      </c>
    </row>
    <row r="13" spans="1:8" ht="12.75">
      <c r="A13">
        <v>0.8</v>
      </c>
      <c r="B13">
        <f t="shared" si="0"/>
        <v>0.15848931924611132</v>
      </c>
      <c r="C13">
        <f t="shared" si="1"/>
        <v>0.15848931924604823</v>
      </c>
      <c r="D13" s="226">
        <f t="shared" si="4"/>
        <v>0.9911661115219302</v>
      </c>
      <c r="E13" s="227">
        <f t="shared" si="5"/>
        <v>0.00883377726740296</v>
      </c>
      <c r="F13" s="227">
        <f t="shared" si="6"/>
        <v>1.1121066684063202E-07</v>
      </c>
      <c r="G13" s="232">
        <f t="shared" si="2"/>
        <v>-0.015242981773567426</v>
      </c>
      <c r="H13" s="232">
        <f t="shared" si="3"/>
        <v>-15.242981773567426</v>
      </c>
    </row>
    <row r="14" spans="1:8" ht="12.75">
      <c r="A14">
        <v>1</v>
      </c>
      <c r="B14">
        <f t="shared" si="0"/>
        <v>0.1</v>
      </c>
      <c r="C14">
        <f t="shared" si="1"/>
        <v>0.0999999999999</v>
      </c>
      <c r="D14" s="226">
        <f t="shared" si="4"/>
        <v>0.9860710976168927</v>
      </c>
      <c r="E14" s="227">
        <f t="shared" si="5"/>
        <v>0.01392862447051228</v>
      </c>
      <c r="F14" s="227">
        <f t="shared" si="6"/>
        <v>2.7791259505366454E-07</v>
      </c>
      <c r="G14" s="232">
        <f t="shared" si="2"/>
        <v>-0.012325885246297382</v>
      </c>
      <c r="H14" s="232">
        <f t="shared" si="3"/>
        <v>-12.325885246297382</v>
      </c>
    </row>
    <row r="15" spans="1:8" ht="12.75">
      <c r="A15">
        <v>1.2</v>
      </c>
      <c r="B15">
        <f t="shared" si="0"/>
        <v>0.06309573444801932</v>
      </c>
      <c r="C15">
        <f t="shared" si="1"/>
        <v>0.06309573444786083</v>
      </c>
      <c r="D15" s="226">
        <f t="shared" si="4"/>
        <v>0.9781023240707821</v>
      </c>
      <c r="E15" s="227">
        <f t="shared" si="5"/>
        <v>0.02189698348580078</v>
      </c>
      <c r="F15" s="227">
        <f t="shared" si="6"/>
        <v>6.924434170222359E-07</v>
      </c>
      <c r="G15" s="232">
        <f t="shared" si="2"/>
        <v>-0.009335912097392715</v>
      </c>
      <c r="H15" s="232">
        <f t="shared" si="3"/>
        <v>-9.335912097392715</v>
      </c>
    </row>
    <row r="16" spans="1:8" ht="12.75">
      <c r="A16">
        <v>1.4</v>
      </c>
      <c r="B16">
        <f t="shared" si="0"/>
        <v>0.03981071705534973</v>
      </c>
      <c r="C16">
        <f t="shared" si="1"/>
        <v>0.03981071705509854</v>
      </c>
      <c r="D16" s="226">
        <f t="shared" si="4"/>
        <v>0.9657327902181342</v>
      </c>
      <c r="E16" s="227">
        <f t="shared" si="5"/>
        <v>0.03426549243912933</v>
      </c>
      <c r="F16" s="227">
        <f t="shared" si="6"/>
        <v>1.7173427364443402E-06</v>
      </c>
      <c r="G16" s="232">
        <f t="shared" si="2"/>
        <v>-0.006505907613702403</v>
      </c>
      <c r="H16" s="232">
        <f t="shared" si="3"/>
        <v>-6.505907613702403</v>
      </c>
    </row>
    <row r="17" spans="1:8" ht="12.75">
      <c r="A17">
        <v>1.6</v>
      </c>
      <c r="B17">
        <f t="shared" si="0"/>
        <v>0.02511886431509578</v>
      </c>
      <c r="C17">
        <f t="shared" si="1"/>
        <v>0.025118864314697672</v>
      </c>
      <c r="D17" s="226">
        <f t="shared" si="4"/>
        <v>0.946755780948262</v>
      </c>
      <c r="E17" s="227">
        <f t="shared" si="5"/>
        <v>0.053239990049006924</v>
      </c>
      <c r="F17" s="227">
        <f t="shared" si="6"/>
        <v>4.229002731236592E-06</v>
      </c>
      <c r="G17" s="232">
        <f t="shared" si="2"/>
        <v>-0.003955042994049446</v>
      </c>
      <c r="H17" s="232">
        <f t="shared" si="3"/>
        <v>-3.955042994049446</v>
      </c>
    </row>
    <row r="18" spans="1:8" ht="12.75">
      <c r="A18">
        <v>1.8</v>
      </c>
      <c r="B18">
        <f t="shared" si="0"/>
        <v>0.015848931924611124</v>
      </c>
      <c r="C18">
        <f t="shared" si="1"/>
        <v>0.015848931923980167</v>
      </c>
      <c r="D18" s="226">
        <f t="shared" si="4"/>
        <v>0.9181587163587239</v>
      </c>
      <c r="E18" s="227">
        <f t="shared" si="5"/>
        <v>0.08183098173103878</v>
      </c>
      <c r="F18" s="227">
        <f t="shared" si="6"/>
        <v>1.030191023732688E-05</v>
      </c>
      <c r="G18" s="232">
        <f t="shared" si="2"/>
        <v>-0.0016538290948288098</v>
      </c>
      <c r="H18" s="232">
        <f t="shared" si="3"/>
        <v>-1.65382909482881</v>
      </c>
    </row>
    <row r="19" spans="1:8" ht="12.75">
      <c r="A19">
        <v>2</v>
      </c>
      <c r="B19">
        <f t="shared" si="0"/>
        <v>0.01</v>
      </c>
      <c r="C19">
        <f t="shared" si="1"/>
        <v>0.009999999999</v>
      </c>
      <c r="D19" s="226">
        <f t="shared" si="4"/>
        <v>0.8762076805464247</v>
      </c>
      <c r="E19" s="227">
        <f t="shared" si="5"/>
        <v>0.12376762456586439</v>
      </c>
      <c r="F19" s="227">
        <f t="shared" si="6"/>
        <v>2.4694887710948516E-05</v>
      </c>
      <c r="G19" s="232">
        <f t="shared" si="2"/>
        <v>0.000541295780715973</v>
      </c>
      <c r="H19" s="232">
        <f t="shared" si="3"/>
        <v>0.541295780715973</v>
      </c>
    </row>
    <row r="20" spans="1:8" ht="12.75">
      <c r="A20">
        <v>2.2</v>
      </c>
      <c r="B20">
        <f t="shared" si="0"/>
        <v>0.006309573444801925</v>
      </c>
      <c r="C20">
        <f t="shared" si="1"/>
        <v>0.006309573443217032</v>
      </c>
      <c r="D20" s="226">
        <f t="shared" si="4"/>
        <v>0.8170315732115576</v>
      </c>
      <c r="E20" s="227">
        <f t="shared" si="5"/>
        <v>0.18291058538264598</v>
      </c>
      <c r="F20" s="227">
        <f t="shared" si="6"/>
        <v>5.784140579638616E-05</v>
      </c>
      <c r="G20" s="232">
        <f t="shared" si="2"/>
        <v>0.0028203135869538302</v>
      </c>
      <c r="H20" s="232">
        <f t="shared" si="3"/>
        <v>2.82031358695383</v>
      </c>
    </row>
    <row r="21" spans="1:8" ht="12.75">
      <c r="A21">
        <v>2.4</v>
      </c>
      <c r="B21">
        <f t="shared" si="0"/>
        <v>0.003981071705534972</v>
      </c>
      <c r="C21">
        <f t="shared" si="1"/>
        <v>0.003981071703023085</v>
      </c>
      <c r="D21" s="226">
        <f t="shared" si="4"/>
        <v>0.7380121637136476</v>
      </c>
      <c r="E21" s="227">
        <f t="shared" si="5"/>
        <v>0.2618565971028434</v>
      </c>
      <c r="F21" s="227">
        <f t="shared" si="6"/>
        <v>0.00013123918350902501</v>
      </c>
      <c r="G21" s="232">
        <f t="shared" si="2"/>
        <v>0.005344923715408469</v>
      </c>
      <c r="H21" s="232">
        <f t="shared" si="3"/>
        <v>5.344923715408469</v>
      </c>
    </row>
    <row r="22" spans="1:8" ht="12.75">
      <c r="A22">
        <v>2.6</v>
      </c>
      <c r="B22">
        <f t="shared" si="0"/>
        <v>0.0025118864315095777</v>
      </c>
      <c r="C22">
        <f t="shared" si="1"/>
        <v>0.002511886427528506</v>
      </c>
      <c r="D22" s="226">
        <f t="shared" si="4"/>
        <v>0.6398820533432787</v>
      </c>
      <c r="E22" s="227">
        <f t="shared" si="5"/>
        <v>0.3598321218425809</v>
      </c>
      <c r="F22" s="227">
        <f t="shared" si="6"/>
        <v>0.0002858248141403095</v>
      </c>
      <c r="G22" s="232">
        <f t="shared" si="2"/>
        <v>0.00817673244732962</v>
      </c>
      <c r="H22" s="232">
        <f t="shared" si="3"/>
        <v>8.17673244732962</v>
      </c>
    </row>
    <row r="23" spans="1:8" ht="12.75">
      <c r="A23">
        <v>2.8</v>
      </c>
      <c r="B23">
        <f t="shared" si="0"/>
        <v>0.0015848931924611134</v>
      </c>
      <c r="C23">
        <f t="shared" si="1"/>
        <v>0.00158489318615154</v>
      </c>
      <c r="D23" s="226">
        <f t="shared" si="4"/>
        <v>0.5284370591529709</v>
      </c>
      <c r="E23" s="227">
        <f t="shared" si="5"/>
        <v>0.47097002471472244</v>
      </c>
      <c r="F23" s="227">
        <f t="shared" si="6"/>
        <v>0.0005929161323066897</v>
      </c>
      <c r="G23" s="232">
        <f t="shared" si="2"/>
        <v>0.0112296944655356</v>
      </c>
      <c r="H23" s="232">
        <f t="shared" si="3"/>
        <v>11.2296944655356</v>
      </c>
    </row>
    <row r="24" spans="1:8" ht="12.75">
      <c r="A24">
        <v>3</v>
      </c>
      <c r="B24">
        <f t="shared" si="0"/>
        <v>0.001</v>
      </c>
      <c r="C24">
        <f t="shared" si="1"/>
        <v>0.00099999999</v>
      </c>
      <c r="D24" s="226">
        <f t="shared" si="4"/>
        <v>0.41401765619391756</v>
      </c>
      <c r="E24" s="227">
        <f t="shared" si="5"/>
        <v>0.5848154835106233</v>
      </c>
      <c r="F24" s="227">
        <f t="shared" si="6"/>
        <v>0.001166860295459048</v>
      </c>
      <c r="G24" s="232">
        <f t="shared" si="2"/>
        <v>0.014285871392541704</v>
      </c>
      <c r="H24" s="232">
        <f t="shared" si="3"/>
        <v>14.285871392541704</v>
      </c>
    </row>
    <row r="25" spans="1:8" ht="12.75">
      <c r="A25">
        <v>3.2</v>
      </c>
      <c r="B25">
        <f t="shared" si="0"/>
        <v>0.0006309573444801924</v>
      </c>
      <c r="C25">
        <f t="shared" si="1"/>
        <v>0.0006309573286312605</v>
      </c>
      <c r="D25" s="226">
        <f t="shared" si="4"/>
        <v>0.30809039874642097</v>
      </c>
      <c r="E25" s="227">
        <f t="shared" si="5"/>
        <v>0.6897284882635614</v>
      </c>
      <c r="F25" s="227">
        <f t="shared" si="6"/>
        <v>0.002181112990017566</v>
      </c>
      <c r="G25" s="232">
        <f t="shared" si="2"/>
        <v>0.017086718620572986</v>
      </c>
      <c r="H25" s="232">
        <f t="shared" si="3"/>
        <v>17.086718620572984</v>
      </c>
    </row>
    <row r="26" spans="1:8" ht="12.75">
      <c r="A26">
        <v>3.4</v>
      </c>
      <c r="B26">
        <f t="shared" si="0"/>
        <v>0.0003981071705534971</v>
      </c>
      <c r="C26">
        <f t="shared" si="1"/>
        <v>0.0003981071454346328</v>
      </c>
      <c r="D26" s="226">
        <f t="shared" si="4"/>
        <v>0.2190140707058182</v>
      </c>
      <c r="E26" s="227">
        <f t="shared" si="5"/>
        <v>0.7770912471697322</v>
      </c>
      <c r="F26" s="227">
        <f t="shared" si="6"/>
        <v>0.0038946821244496424</v>
      </c>
      <c r="G26" s="232">
        <f t="shared" si="2"/>
        <v>0.019445076261076572</v>
      </c>
      <c r="H26" s="232">
        <f t="shared" si="3"/>
        <v>19.445076261076572</v>
      </c>
    </row>
    <row r="27" spans="1:8" ht="12.75">
      <c r="A27">
        <v>3.6</v>
      </c>
      <c r="B27">
        <f t="shared" si="0"/>
        <v>0.00025118864315095774</v>
      </c>
      <c r="C27">
        <f t="shared" si="1"/>
        <v>0.0002511886033402407</v>
      </c>
      <c r="D27" s="226">
        <f t="shared" si="4"/>
        <v>0.14996817050537684</v>
      </c>
      <c r="E27" s="227">
        <f t="shared" si="5"/>
        <v>0.8433329973836583</v>
      </c>
      <c r="F27" s="227">
        <f t="shared" si="6"/>
        <v>0.006698832110964975</v>
      </c>
      <c r="G27" s="232">
        <f t="shared" si="2"/>
        <v>0.021301961290255578</v>
      </c>
      <c r="H27" s="232">
        <f t="shared" si="3"/>
        <v>21.301961290255576</v>
      </c>
    </row>
    <row r="28" spans="1:8" ht="12.75">
      <c r="A28">
        <v>3.8</v>
      </c>
      <c r="B28">
        <f t="shared" si="0"/>
        <v>0.0001584893192461112</v>
      </c>
      <c r="C28">
        <f t="shared" si="1"/>
        <v>0.00015848925615037675</v>
      </c>
      <c r="D28" s="226">
        <f t="shared" si="4"/>
        <v>0.09975349687179354</v>
      </c>
      <c r="E28" s="227">
        <f t="shared" si="5"/>
        <v>0.8890539766910761</v>
      </c>
      <c r="F28" s="227">
        <f t="shared" si="6"/>
        <v>0.011192526437130534</v>
      </c>
      <c r="G28" s="232">
        <f t="shared" si="2"/>
        <v>0.022710359944550645</v>
      </c>
      <c r="H28" s="232">
        <f t="shared" si="3"/>
        <v>22.710359944550646</v>
      </c>
    </row>
    <row r="29" spans="1:8" ht="12.75">
      <c r="A29">
        <v>4</v>
      </c>
      <c r="B29">
        <f t="shared" si="0"/>
        <v>0.0001</v>
      </c>
      <c r="C29">
        <f t="shared" si="1"/>
        <v>9.999990000000001E-05</v>
      </c>
      <c r="D29" s="226">
        <f t="shared" si="4"/>
        <v>0.06490466199256674</v>
      </c>
      <c r="E29" s="227">
        <f t="shared" si="5"/>
        <v>0.9168027188554994</v>
      </c>
      <c r="F29" s="227">
        <f t="shared" si="6"/>
        <v>0.01829261915193382</v>
      </c>
      <c r="G29" s="232">
        <f t="shared" si="2"/>
        <v>0.023785913064705386</v>
      </c>
      <c r="H29" s="232">
        <f t="shared" si="3"/>
        <v>23.785913064705387</v>
      </c>
    </row>
    <row r="30" spans="1:8" ht="12.75">
      <c r="A30">
        <v>4.2</v>
      </c>
      <c r="B30">
        <f t="shared" si="0"/>
        <v>6.309573444801928E-05</v>
      </c>
      <c r="C30">
        <f t="shared" si="1"/>
        <v>6.309557595870004E-05</v>
      </c>
      <c r="D30" s="226">
        <f t="shared" si="4"/>
        <v>0.041502115671702734</v>
      </c>
      <c r="E30" s="227">
        <f t="shared" si="5"/>
        <v>0.9291166364954925</v>
      </c>
      <c r="F30" s="227">
        <f t="shared" si="6"/>
        <v>0.02938124783280476</v>
      </c>
      <c r="G30" s="232">
        <f t="shared" si="2"/>
        <v>0.024665641481481232</v>
      </c>
      <c r="H30" s="232">
        <f t="shared" si="3"/>
        <v>24.66564148148123</v>
      </c>
    </row>
    <row r="31" spans="1:8" ht="12.75">
      <c r="A31">
        <v>4.4</v>
      </c>
      <c r="B31">
        <f t="shared" si="0"/>
        <v>3.9810717055349634E-05</v>
      </c>
      <c r="C31">
        <f t="shared" si="1"/>
        <v>3.9810465866706486E-05</v>
      </c>
      <c r="D31" s="226">
        <f t="shared" si="4"/>
        <v>0.02613721839266515</v>
      </c>
      <c r="E31" s="227">
        <f t="shared" si="5"/>
        <v>0.9273835043039678</v>
      </c>
      <c r="F31" s="227">
        <f t="shared" si="6"/>
        <v>0.046479277303367116</v>
      </c>
      <c r="G31" s="232">
        <f t="shared" si="2"/>
        <v>0.025488451784903096</v>
      </c>
      <c r="H31" s="232">
        <f t="shared" si="3"/>
        <v>25.488451784903095</v>
      </c>
    </row>
    <row r="32" spans="1:8" ht="12.75">
      <c r="A32">
        <v>4.6</v>
      </c>
      <c r="B32">
        <f t="shared" si="0"/>
        <v>2.511886431509579E-05</v>
      </c>
      <c r="C32">
        <f t="shared" si="1"/>
        <v>2.5118466207925237E-05</v>
      </c>
      <c r="D32" s="226">
        <f t="shared" si="4"/>
        <v>0.01620720104196756</v>
      </c>
      <c r="E32" s="227">
        <f t="shared" si="5"/>
        <v>0.9113978911566436</v>
      </c>
      <c r="F32" s="227">
        <f t="shared" si="6"/>
        <v>0.07239490780138881</v>
      </c>
      <c r="G32" s="232">
        <f t="shared" si="2"/>
        <v>0.02639178384112775</v>
      </c>
      <c r="H32" s="232">
        <f t="shared" si="3"/>
        <v>26.39178384112775</v>
      </c>
    </row>
    <row r="33" spans="1:8" ht="12.75">
      <c r="A33">
        <v>4.8</v>
      </c>
      <c r="B33">
        <f t="shared" si="0"/>
        <v>1.584893192461113E-05</v>
      </c>
      <c r="C33">
        <f t="shared" si="1"/>
        <v>1.584830096726665E-05</v>
      </c>
      <c r="D33" s="226">
        <f t="shared" si="4"/>
        <v>0.009867257914901253</v>
      </c>
      <c r="E33" s="227">
        <f t="shared" si="5"/>
        <v>0.8794202873463359</v>
      </c>
      <c r="F33" s="227">
        <f t="shared" si="6"/>
        <v>0.11071245473876284</v>
      </c>
      <c r="G33" s="232">
        <f t="shared" si="2"/>
        <v>0.027512807532812385</v>
      </c>
      <c r="H33" s="232">
        <f t="shared" si="3"/>
        <v>27.512807532812385</v>
      </c>
    </row>
    <row r="34" spans="1:8" ht="12.75">
      <c r="A34">
        <v>5</v>
      </c>
      <c r="B34">
        <f t="shared" si="0"/>
        <v>1E-05</v>
      </c>
      <c r="C34">
        <f t="shared" si="1"/>
        <v>9.999E-06</v>
      </c>
      <c r="D34" s="226">
        <f t="shared" si="4"/>
        <v>0.0058672505080839595</v>
      </c>
      <c r="E34" s="227">
        <f t="shared" si="5"/>
        <v>0.8287711626375514</v>
      </c>
      <c r="F34" s="227">
        <f t="shared" si="6"/>
        <v>0.16536158685436467</v>
      </c>
      <c r="G34" s="232">
        <f t="shared" si="2"/>
        <v>0.028981960752401385</v>
      </c>
      <c r="H34" s="232">
        <f t="shared" si="3"/>
        <v>28.981960752401385</v>
      </c>
    </row>
    <row r="35" spans="1:8" ht="12.75">
      <c r="A35">
        <v>5.2</v>
      </c>
      <c r="B35">
        <f t="shared" si="0"/>
        <v>6.309573444801921E-06</v>
      </c>
      <c r="C35">
        <f t="shared" si="1"/>
        <v>6.30798855160946E-06</v>
      </c>
      <c r="D35" s="226">
        <f t="shared" si="4"/>
        <v>0.003382186854518657</v>
      </c>
      <c r="E35" s="227">
        <f t="shared" si="5"/>
        <v>0.7571773205798883</v>
      </c>
      <c r="F35" s="227">
        <f t="shared" si="6"/>
        <v>0.23944049256559308</v>
      </c>
      <c r="G35" s="232">
        <f t="shared" si="2"/>
        <v>0.030897931607650468</v>
      </c>
      <c r="H35" s="232">
        <f t="shared" si="3"/>
        <v>30.897931607650467</v>
      </c>
    </row>
    <row r="36" spans="1:8" ht="12.75">
      <c r="A36">
        <v>5.4</v>
      </c>
      <c r="B36">
        <f t="shared" si="0"/>
        <v>3.981071705534966E-06</v>
      </c>
      <c r="C36">
        <f t="shared" si="1"/>
        <v>3.978559819103456E-06</v>
      </c>
      <c r="D36" s="226">
        <f t="shared" si="4"/>
        <v>0.0018739178233346447</v>
      </c>
      <c r="E36" s="227">
        <f t="shared" si="5"/>
        <v>0.66489113404257</v>
      </c>
      <c r="F36" s="227">
        <f t="shared" si="6"/>
        <v>0.3332349481340954</v>
      </c>
      <c r="G36" s="232">
        <f t="shared" si="2"/>
        <v>0.033281706985193026</v>
      </c>
      <c r="H36" s="232">
        <f t="shared" si="3"/>
        <v>33.281706985193026</v>
      </c>
    </row>
    <row r="37" spans="1:8" ht="12.75">
      <c r="A37">
        <v>5.6</v>
      </c>
      <c r="B37">
        <f t="shared" si="0"/>
        <v>2.5118864315095806E-06</v>
      </c>
      <c r="C37">
        <f t="shared" si="1"/>
        <v>2.5079053598040454E-06</v>
      </c>
      <c r="D37" s="226">
        <f t="shared" si="4"/>
        <v>0.0009900745841323415</v>
      </c>
      <c r="E37" s="227">
        <f t="shared" si="5"/>
        <v>0.556759853678264</v>
      </c>
      <c r="F37" s="227">
        <f t="shared" si="6"/>
        <v>0.44225007173760356</v>
      </c>
      <c r="G37" s="232">
        <f t="shared" si="2"/>
        <v>0.036029969354964234</v>
      </c>
      <c r="H37" s="232">
        <f t="shared" si="3"/>
        <v>36.02996935496424</v>
      </c>
    </row>
    <row r="38" spans="1:8" ht="12.75">
      <c r="A38">
        <v>5.8</v>
      </c>
      <c r="B38">
        <f t="shared" si="0"/>
        <v>1.5848931924611111E-06</v>
      </c>
      <c r="C38">
        <f t="shared" si="1"/>
        <v>1.5785836190163092E-06</v>
      </c>
      <c r="D38" s="226">
        <f t="shared" si="4"/>
        <v>0.0004964579235306619</v>
      </c>
      <c r="E38" s="227">
        <f t="shared" si="5"/>
        <v>0.44246859009063394</v>
      </c>
      <c r="F38" s="227">
        <f t="shared" si="6"/>
        <v>0.5570349519858354</v>
      </c>
      <c r="G38" s="232">
        <f t="shared" si="2"/>
        <v>0.03891245344003711</v>
      </c>
      <c r="H38" s="232">
        <f t="shared" si="3"/>
        <v>38.91245344003711</v>
      </c>
    </row>
    <row r="39" spans="1:8" ht="12.75">
      <c r="A39">
        <v>6</v>
      </c>
      <c r="B39">
        <f t="shared" si="0"/>
        <v>1E-06</v>
      </c>
      <c r="C39">
        <f t="shared" si="1"/>
        <v>9.9E-07</v>
      </c>
      <c r="D39" s="226">
        <f t="shared" si="4"/>
        <v>0.000236299336364622</v>
      </c>
      <c r="E39" s="227">
        <f t="shared" si="5"/>
        <v>0.3337816843844691</v>
      </c>
      <c r="F39" s="227">
        <f t="shared" si="6"/>
        <v>0.6659820162791662</v>
      </c>
      <c r="G39" s="232">
        <f t="shared" si="2"/>
        <v>0.041642983158036766</v>
      </c>
      <c r="H39" s="232">
        <f t="shared" si="3"/>
        <v>41.64298315803676</v>
      </c>
    </row>
    <row r="40" spans="1:8" ht="12.75">
      <c r="A40">
        <v>6.2</v>
      </c>
      <c r="B40">
        <f t="shared" si="0"/>
        <v>6.309573444801925E-07</v>
      </c>
      <c r="C40">
        <f t="shared" si="1"/>
        <v>6.151084125555814E-07</v>
      </c>
      <c r="D40" s="226">
        <f t="shared" si="4"/>
        <v>0.00010730559010482967</v>
      </c>
      <c r="E40" s="227">
        <f t="shared" si="5"/>
        <v>0.2402272928542318</v>
      </c>
      <c r="F40" s="227">
        <f t="shared" si="6"/>
        <v>0.7596654015556633</v>
      </c>
      <c r="G40" s="232">
        <f t="shared" si="2"/>
        <v>0.04398852804489926</v>
      </c>
      <c r="H40" s="232">
        <f t="shared" si="3"/>
        <v>43.988528044899255</v>
      </c>
    </row>
    <row r="41" spans="1:8" ht="12.75">
      <c r="A41">
        <v>6.4</v>
      </c>
      <c r="B41">
        <f aca="true" t="shared" si="7" ref="B41:B72">10^-A41</f>
        <v>3.981071705534962E-07</v>
      </c>
      <c r="C41">
        <f aca="true" t="shared" si="8" ref="C41:C72">B41-$B$2/B41</f>
        <v>3.7298830623840034E-07</v>
      </c>
      <c r="D41" s="226">
        <f t="shared" si="4"/>
        <v>4.687808811004037E-05</v>
      </c>
      <c r="E41" s="227">
        <f t="shared" si="5"/>
        <v>0.16632973323113623</v>
      </c>
      <c r="F41" s="227">
        <f t="shared" si="6"/>
        <v>0.8336233886807538</v>
      </c>
      <c r="G41" s="232">
        <f aca="true" t="shared" si="9" ref="G41:G72">$H$4*($H$3*(2*F41+E41)-C41)/($J$3+C41)</f>
        <v>0.04583914854307578</v>
      </c>
      <c r="H41" s="232">
        <f aca="true" t="shared" si="10" ref="H41:H72">G41*1000</f>
        <v>45.83914854307578</v>
      </c>
    </row>
    <row r="42" spans="1:8" ht="12.75">
      <c r="A42">
        <v>6.6</v>
      </c>
      <c r="B42">
        <f t="shared" si="7"/>
        <v>2.511886431509578E-07</v>
      </c>
      <c r="C42">
        <f t="shared" si="8"/>
        <v>2.1137792609560805E-07</v>
      </c>
      <c r="D42" s="226">
        <f t="shared" si="4"/>
        <v>1.988357274708137E-05</v>
      </c>
      <c r="E42" s="227">
        <f t="shared" si="5"/>
        <v>0.11181354648112446</v>
      </c>
      <c r="F42" s="227">
        <f t="shared" si="6"/>
        <v>0.8881665699461285</v>
      </c>
      <c r="G42" s="232">
        <f t="shared" si="9"/>
        <v>0.04720351453704294</v>
      </c>
      <c r="H42" s="232">
        <f t="shared" si="10"/>
        <v>47.20351453704294</v>
      </c>
    </row>
    <row r="43" spans="1:8" ht="12.75">
      <c r="A43">
        <v>6.8</v>
      </c>
      <c r="B43">
        <f t="shared" si="7"/>
        <v>1.5848931924611122E-07</v>
      </c>
      <c r="C43">
        <f t="shared" si="8"/>
        <v>9.539358479809185E-08</v>
      </c>
      <c r="D43" s="226">
        <f t="shared" si="4"/>
        <v>8.25659142522507E-06</v>
      </c>
      <c r="E43" s="227">
        <f t="shared" si="5"/>
        <v>0.0735869485351888</v>
      </c>
      <c r="F43" s="227">
        <f t="shared" si="6"/>
        <v>0.926404794873386</v>
      </c>
      <c r="G43" s="232">
        <f t="shared" si="9"/>
        <v>0.04815984366725152</v>
      </c>
      <c r="H43" s="232">
        <f t="shared" si="10"/>
        <v>48.15984366725152</v>
      </c>
    </row>
    <row r="44" spans="1:8" ht="12.75">
      <c r="A44">
        <v>7</v>
      </c>
      <c r="B44">
        <f t="shared" si="7"/>
        <v>1E-07</v>
      </c>
      <c r="C44">
        <f t="shared" si="8"/>
        <v>0</v>
      </c>
      <c r="D44" s="226">
        <f t="shared" si="4"/>
        <v>3.378781679660041E-06</v>
      </c>
      <c r="E44" s="227">
        <f t="shared" si="5"/>
        <v>0.047726559776033343</v>
      </c>
      <c r="F44" s="227">
        <f t="shared" si="6"/>
        <v>0.952270061442287</v>
      </c>
      <c r="G44" s="232">
        <f t="shared" si="9"/>
        <v>0.04880666706651518</v>
      </c>
      <c r="H44" s="232">
        <f t="shared" si="10"/>
        <v>48.80666706651518</v>
      </c>
    </row>
    <row r="45" spans="1:8" ht="12.75">
      <c r="A45">
        <v>7.2</v>
      </c>
      <c r="B45">
        <f t="shared" si="7"/>
        <v>6.309573444801918E-08</v>
      </c>
      <c r="C45">
        <f t="shared" si="8"/>
        <v>-9.539358479809255E-08</v>
      </c>
      <c r="D45" s="226">
        <f t="shared" si="4"/>
        <v>1.3692365490201936E-06</v>
      </c>
      <c r="E45" s="227">
        <f t="shared" si="5"/>
        <v>0.030653388059918758</v>
      </c>
      <c r="F45" s="227">
        <f t="shared" si="6"/>
        <v>0.9693452427035323</v>
      </c>
      <c r="G45" s="232">
        <f t="shared" si="9"/>
        <v>0.049233667650831286</v>
      </c>
      <c r="H45" s="232">
        <f t="shared" si="10"/>
        <v>49.233667650831286</v>
      </c>
    </row>
    <row r="46" spans="1:8" ht="12.75">
      <c r="A46">
        <v>7.4</v>
      </c>
      <c r="B46">
        <f t="shared" si="7"/>
        <v>3.981071705534957E-08</v>
      </c>
      <c r="C46">
        <f t="shared" si="8"/>
        <v>-2.113779260956094E-07</v>
      </c>
      <c r="D46" s="226">
        <f t="shared" si="4"/>
        <v>5.513403293305377E-07</v>
      </c>
      <c r="E46" s="227">
        <f t="shared" si="5"/>
        <v>0.01956229308709243</v>
      </c>
      <c r="F46" s="227">
        <f t="shared" si="6"/>
        <v>0.9804371555725782</v>
      </c>
      <c r="G46" s="232">
        <f t="shared" si="9"/>
        <v>0.049511072605766204</v>
      </c>
      <c r="H46" s="232">
        <f t="shared" si="10"/>
        <v>49.5110726057662</v>
      </c>
    </row>
    <row r="47" spans="1:8" ht="12.75">
      <c r="A47">
        <v>7.6</v>
      </c>
      <c r="B47">
        <f t="shared" si="7"/>
        <v>2.511886431509575E-08</v>
      </c>
      <c r="C47">
        <f t="shared" si="8"/>
        <v>-3.729883062384023E-07</v>
      </c>
      <c r="D47" s="226">
        <f t="shared" si="4"/>
        <v>2.2108872225416555E-07</v>
      </c>
      <c r="E47" s="227">
        <f t="shared" si="5"/>
        <v>0.012432732505704857</v>
      </c>
      <c r="F47" s="227">
        <f t="shared" si="6"/>
        <v>0.9875670464055729</v>
      </c>
      <c r="G47" s="232">
        <f t="shared" si="9"/>
        <v>0.04968944921583284</v>
      </c>
      <c r="H47" s="232">
        <f t="shared" si="10"/>
        <v>49.689449215832845</v>
      </c>
    </row>
    <row r="48" spans="1:8" ht="12.75">
      <c r="A48">
        <v>7.8</v>
      </c>
      <c r="B48">
        <f t="shared" si="7"/>
        <v>1.5848931924611133E-08</v>
      </c>
      <c r="C48">
        <f t="shared" si="8"/>
        <v>-6.151084125555821E-07</v>
      </c>
      <c r="D48" s="226">
        <f t="shared" si="4"/>
        <v>8.842271930732262E-08</v>
      </c>
      <c r="E48" s="227">
        <f t="shared" si="5"/>
        <v>0.007880683153498807</v>
      </c>
      <c r="F48" s="227">
        <f t="shared" si="6"/>
        <v>0.9921192284237819</v>
      </c>
      <c r="G48" s="232">
        <f t="shared" si="9"/>
        <v>0.049803438622270414</v>
      </c>
      <c r="H48" s="232">
        <f t="shared" si="10"/>
        <v>49.80343862227041</v>
      </c>
    </row>
    <row r="49" spans="1:8" ht="12.75">
      <c r="A49">
        <v>8</v>
      </c>
      <c r="B49">
        <f t="shared" si="7"/>
        <v>1E-08</v>
      </c>
      <c r="C49">
        <f t="shared" si="8"/>
        <v>-9.9E-07</v>
      </c>
      <c r="D49" s="226">
        <f t="shared" si="4"/>
        <v>3.53043965423311E-08</v>
      </c>
      <c r="E49" s="227">
        <f t="shared" si="5"/>
        <v>0.004986878560629237</v>
      </c>
      <c r="F49" s="227">
        <f t="shared" si="6"/>
        <v>0.9950130861349742</v>
      </c>
      <c r="G49" s="232">
        <f t="shared" si="9"/>
        <v>0.049876067543833134</v>
      </c>
      <c r="H49" s="232">
        <f t="shared" si="10"/>
        <v>49.87606754383314</v>
      </c>
    </row>
    <row r="50" spans="1:8" ht="12.75">
      <c r="A50">
        <v>8.2</v>
      </c>
      <c r="B50">
        <f t="shared" si="7"/>
        <v>6.309573444801933E-09</v>
      </c>
      <c r="C50">
        <f t="shared" si="8"/>
        <v>-1.5785836190163115E-06</v>
      </c>
      <c r="D50" s="226">
        <f t="shared" si="4"/>
        <v>1.408084769722118E-08</v>
      </c>
      <c r="E50" s="227">
        <f t="shared" si="5"/>
        <v>0.0031523091388730344</v>
      </c>
      <c r="F50" s="227">
        <f t="shared" si="6"/>
        <v>0.9968476767802793</v>
      </c>
      <c r="G50" s="232">
        <f t="shared" si="9"/>
        <v>0.04992237427981315</v>
      </c>
      <c r="H50" s="232">
        <f t="shared" si="10"/>
        <v>49.92237427981315</v>
      </c>
    </row>
    <row r="51" spans="1:8" ht="12.75">
      <c r="A51">
        <v>8.4</v>
      </c>
      <c r="B51">
        <f t="shared" si="7"/>
        <v>3.9810717055349665E-09</v>
      </c>
      <c r="C51">
        <f t="shared" si="8"/>
        <v>-2.507905359804049E-06</v>
      </c>
      <c r="D51" s="226">
        <f t="shared" si="4"/>
        <v>5.612215378495486E-09</v>
      </c>
      <c r="E51" s="227">
        <f t="shared" si="5"/>
        <v>0.001991289159552778</v>
      </c>
      <c r="F51" s="227">
        <f t="shared" si="6"/>
        <v>0.9980087052282319</v>
      </c>
      <c r="G51" s="232">
        <f t="shared" si="9"/>
        <v>0.04995209721806384</v>
      </c>
      <c r="H51" s="232">
        <f t="shared" si="10"/>
        <v>49.95209721806384</v>
      </c>
    </row>
    <row r="52" spans="1:8" ht="12.75">
      <c r="A52">
        <v>8.6</v>
      </c>
      <c r="B52">
        <f t="shared" si="7"/>
        <v>2.511886431509581E-09</v>
      </c>
      <c r="C52">
        <f t="shared" si="8"/>
        <v>-3.978559819103461E-06</v>
      </c>
      <c r="D52" s="226">
        <f t="shared" si="4"/>
        <v>2.2359062943104806E-09</v>
      </c>
      <c r="E52" s="227">
        <f t="shared" si="5"/>
        <v>0.0012573425085439965</v>
      </c>
      <c r="F52" s="227">
        <f t="shared" si="6"/>
        <v>0.9987426552555497</v>
      </c>
      <c r="G52" s="232">
        <f t="shared" si="9"/>
        <v>0.04997154911341988</v>
      </c>
      <c r="H52" s="232">
        <f t="shared" si="10"/>
        <v>49.97154911341988</v>
      </c>
    </row>
    <row r="53" spans="1:8" ht="12.75">
      <c r="A53">
        <v>8.8</v>
      </c>
      <c r="B53">
        <f t="shared" si="7"/>
        <v>1.584893192461106E-09</v>
      </c>
      <c r="C53">
        <f t="shared" si="8"/>
        <v>-6.307988551609501E-06</v>
      </c>
      <c r="D53" s="226">
        <f t="shared" si="4"/>
        <v>8.905435534512844E-10</v>
      </c>
      <c r="E53" s="227">
        <f t="shared" si="5"/>
        <v>0.0007936977774624193</v>
      </c>
      <c r="F53" s="227">
        <f t="shared" si="6"/>
        <v>0.9992063013319941</v>
      </c>
      <c r="G53" s="232">
        <f t="shared" si="9"/>
        <v>0.04998488754915831</v>
      </c>
      <c r="H53" s="232">
        <f t="shared" si="10"/>
        <v>49.98488754915831</v>
      </c>
    </row>
    <row r="54" spans="1:8" ht="12.75">
      <c r="A54">
        <v>9</v>
      </c>
      <c r="B54">
        <f t="shared" si="7"/>
        <v>1E-09</v>
      </c>
      <c r="C54">
        <f t="shared" si="8"/>
        <v>-9.998999999999999E-06</v>
      </c>
      <c r="D54" s="226">
        <f t="shared" si="4"/>
        <v>3.546356502472542E-10</v>
      </c>
      <c r="E54" s="227">
        <f t="shared" si="5"/>
        <v>0.0005009361706359497</v>
      </c>
      <c r="F54" s="227">
        <f t="shared" si="6"/>
        <v>0.9994990634747284</v>
      </c>
      <c r="G54" s="232">
        <f t="shared" si="9"/>
        <v>0.049994975325585125</v>
      </c>
      <c r="H54" s="232">
        <f t="shared" si="10"/>
        <v>49.99497532558512</v>
      </c>
    </row>
    <row r="55" spans="1:8" ht="12.75">
      <c r="A55">
        <v>9.2</v>
      </c>
      <c r="B55">
        <f t="shared" si="7"/>
        <v>6.309573444801927E-10</v>
      </c>
      <c r="C55">
        <f t="shared" si="8"/>
        <v>-1.5848300967266667E-05</v>
      </c>
      <c r="D55" s="226">
        <f t="shared" si="4"/>
        <v>1.412091002040306E-10</v>
      </c>
      <c r="E55" s="227">
        <f t="shared" si="5"/>
        <v>0.0003161277975849781</v>
      </c>
      <c r="F55" s="227">
        <f t="shared" si="6"/>
        <v>0.999683872061206</v>
      </c>
      <c r="G55" s="232">
        <f t="shared" si="9"/>
        <v>0.05000398365506702</v>
      </c>
      <c r="H55" s="232">
        <f t="shared" si="10"/>
        <v>50.003983655067024</v>
      </c>
    </row>
    <row r="56" spans="1:8" ht="12.75">
      <c r="A56">
        <v>9.4</v>
      </c>
      <c r="B56">
        <f t="shared" si="7"/>
        <v>3.981071705534962E-10</v>
      </c>
      <c r="C56">
        <f t="shared" si="8"/>
        <v>-2.511846620792531E-05</v>
      </c>
      <c r="D56" s="226">
        <f t="shared" si="4"/>
        <v>5.622291456960532E-11</v>
      </c>
      <c r="E56" s="227">
        <f t="shared" si="5"/>
        <v>0.0001994864287103146</v>
      </c>
      <c r="F56" s="227">
        <f t="shared" si="6"/>
        <v>0.9998005135150668</v>
      </c>
      <c r="G56" s="232">
        <f t="shared" si="9"/>
        <v>0.05001385516633232</v>
      </c>
      <c r="H56" s="232">
        <f t="shared" si="10"/>
        <v>50.01385516633232</v>
      </c>
    </row>
    <row r="57" spans="1:8" ht="12.75">
      <c r="A57">
        <v>9.6</v>
      </c>
      <c r="B57">
        <f t="shared" si="7"/>
        <v>2.5118864315095784E-10</v>
      </c>
      <c r="C57">
        <f t="shared" si="8"/>
        <v>-3.981046586670661E-05</v>
      </c>
      <c r="D57" s="226">
        <f t="shared" si="4"/>
        <v>2.2384393357019845E-11</v>
      </c>
      <c r="E57" s="227">
        <f t="shared" si="5"/>
        <v>0.0001258766942396858</v>
      </c>
      <c r="F57" s="227">
        <f t="shared" si="6"/>
        <v>0.9998741232833759</v>
      </c>
      <c r="G57" s="232">
        <f t="shared" si="9"/>
        <v>0.050026721568905884</v>
      </c>
      <c r="H57" s="232">
        <f t="shared" si="10"/>
        <v>50.026721568905884</v>
      </c>
    </row>
    <row r="58" spans="1:8" ht="12.75">
      <c r="A58">
        <v>9.8</v>
      </c>
      <c r="B58">
        <f t="shared" si="7"/>
        <v>1.5848931924611098E-10</v>
      </c>
      <c r="C58">
        <f t="shared" si="8"/>
        <v>-6.309557595870023E-05</v>
      </c>
      <c r="D58" s="226">
        <f t="shared" si="4"/>
        <v>8.911801491703307E-12</v>
      </c>
      <c r="E58" s="227">
        <f t="shared" si="5"/>
        <v>7.942651439942294E-05</v>
      </c>
      <c r="F58" s="227">
        <f t="shared" si="6"/>
        <v>0.9999205734766888</v>
      </c>
      <c r="G58" s="232">
        <f t="shared" si="9"/>
        <v>0.05004536464174545</v>
      </c>
      <c r="H58" s="232">
        <f t="shared" si="10"/>
        <v>50.04536464174545</v>
      </c>
    </row>
    <row r="59" spans="1:8" ht="12.75">
      <c r="A59">
        <v>10</v>
      </c>
      <c r="B59">
        <f t="shared" si="7"/>
        <v>1E-10</v>
      </c>
      <c r="C59">
        <f t="shared" si="8"/>
        <v>-9.99999E-05</v>
      </c>
      <c r="D59" s="226">
        <f t="shared" si="4"/>
        <v>3.5479560732942384E-12</v>
      </c>
      <c r="E59" s="227">
        <f t="shared" si="5"/>
        <v>5.011621160200426E-05</v>
      </c>
      <c r="F59" s="227">
        <f t="shared" si="6"/>
        <v>0.9999498837848501</v>
      </c>
      <c r="G59" s="232">
        <f t="shared" si="9"/>
        <v>0.050073820840299044</v>
      </c>
      <c r="H59" s="232">
        <f t="shared" si="10"/>
        <v>50.07382084029904</v>
      </c>
    </row>
    <row r="60" spans="1:8" ht="12.75">
      <c r="A60">
        <v>10.2</v>
      </c>
      <c r="B60">
        <f t="shared" si="7"/>
        <v>6.309573444801919E-11</v>
      </c>
      <c r="C60">
        <f t="shared" si="8"/>
        <v>-0.00015848925615037724</v>
      </c>
      <c r="D60" s="226">
        <f t="shared" si="4"/>
        <v>1.4124928776740358E-12</v>
      </c>
      <c r="E60" s="227">
        <f t="shared" si="5"/>
        <v>3.162177663326091E-05</v>
      </c>
      <c r="F60" s="227">
        <f t="shared" si="6"/>
        <v>0.9999683782219542</v>
      </c>
      <c r="G60" s="232">
        <f t="shared" si="9"/>
        <v>0.0501182638330957</v>
      </c>
      <c r="H60" s="232">
        <f t="shared" si="10"/>
        <v>50.118263833095696</v>
      </c>
    </row>
    <row r="61" spans="1:8" ht="12.75">
      <c r="A61">
        <v>10.4</v>
      </c>
      <c r="B61">
        <f t="shared" si="7"/>
        <v>3.981071705534958E-11</v>
      </c>
      <c r="C61">
        <f t="shared" si="8"/>
        <v>-0.00025118860334024187</v>
      </c>
      <c r="D61" s="226">
        <f t="shared" si="4"/>
        <v>5.623301052293553E-13</v>
      </c>
      <c r="E61" s="227">
        <f t="shared" si="5"/>
        <v>1.995222505045012E-05</v>
      </c>
      <c r="F61" s="227">
        <f t="shared" si="6"/>
        <v>0.9999800477743872</v>
      </c>
      <c r="G61" s="232">
        <f t="shared" si="9"/>
        <v>0.050188365800273686</v>
      </c>
      <c r="H61" s="232">
        <f t="shared" si="10"/>
        <v>50.18836580027369</v>
      </c>
    </row>
    <row r="62" spans="1:8" ht="12.75">
      <c r="A62">
        <v>10.6</v>
      </c>
      <c r="B62">
        <f t="shared" si="7"/>
        <v>2.511886431509576E-11</v>
      </c>
      <c r="C62">
        <f t="shared" si="8"/>
        <v>-0.00039810714543463366</v>
      </c>
      <c r="D62" s="226">
        <f t="shared" si="4"/>
        <v>2.238692955093335E-13</v>
      </c>
      <c r="E62" s="227">
        <f t="shared" si="5"/>
        <v>1.2589095630614854E-05</v>
      </c>
      <c r="F62" s="227">
        <f t="shared" si="6"/>
        <v>0.9999874109041456</v>
      </c>
      <c r="G62" s="232">
        <f t="shared" si="9"/>
        <v>0.050299457794551694</v>
      </c>
      <c r="H62" s="232">
        <f t="shared" si="10"/>
        <v>50.29945779455169</v>
      </c>
    </row>
    <row r="63" spans="1:8" ht="12.75">
      <c r="A63">
        <v>10.8</v>
      </c>
      <c r="B63">
        <f t="shared" si="7"/>
        <v>1.5848931924611082E-11</v>
      </c>
      <c r="C63">
        <f t="shared" si="8"/>
        <v>-0.0006309573286312634</v>
      </c>
      <c r="D63" s="226">
        <f t="shared" si="4"/>
        <v>8.912438587320531E-14</v>
      </c>
      <c r="E63" s="227">
        <f t="shared" si="5"/>
        <v>7.943219252008835E-06</v>
      </c>
      <c r="F63" s="227">
        <f t="shared" si="6"/>
        <v>0.9999920567806588</v>
      </c>
      <c r="G63" s="232">
        <f t="shared" si="9"/>
        <v>0.05047602291747144</v>
      </c>
      <c r="H63" s="232">
        <f t="shared" si="10"/>
        <v>50.47602291747144</v>
      </c>
    </row>
    <row r="64" spans="1:8" ht="12.75">
      <c r="A64">
        <v>11</v>
      </c>
      <c r="B64">
        <f t="shared" si="7"/>
        <v>1E-11</v>
      </c>
      <c r="C64">
        <f t="shared" si="8"/>
        <v>-0.00099999999</v>
      </c>
      <c r="D64" s="226">
        <f t="shared" si="4"/>
        <v>3.5481161096306654E-14</v>
      </c>
      <c r="E64" s="227">
        <f t="shared" si="5"/>
        <v>5.0118472175341336E-06</v>
      </c>
      <c r="F64" s="227">
        <f t="shared" si="6"/>
        <v>0.999994988152747</v>
      </c>
      <c r="G64" s="232">
        <f t="shared" si="9"/>
        <v>0.05075744918812328</v>
      </c>
      <c r="H64" s="232">
        <f t="shared" si="10"/>
        <v>50.757449188123275</v>
      </c>
    </row>
    <row r="65" spans="1:8" ht="12.75">
      <c r="A65">
        <v>11.2</v>
      </c>
      <c r="B65">
        <f t="shared" si="7"/>
        <v>6.3095734448019345E-12</v>
      </c>
      <c r="C65">
        <f t="shared" si="8"/>
        <v>-0.0015848931861515395</v>
      </c>
      <c r="D65" s="226">
        <f t="shared" si="4"/>
        <v>1.4125330778009439E-14</v>
      </c>
      <c r="E65" s="227">
        <f t="shared" si="5"/>
        <v>3.1622676601999656E-06</v>
      </c>
      <c r="F65" s="227">
        <f t="shared" si="6"/>
        <v>0.9999968377323256</v>
      </c>
      <c r="G65" s="232">
        <f t="shared" si="9"/>
        <v>0.051207732096627864</v>
      </c>
      <c r="H65" s="232">
        <f t="shared" si="10"/>
        <v>51.207732096627865</v>
      </c>
    </row>
    <row r="66" spans="1:8" ht="12.75">
      <c r="A66">
        <v>11.4</v>
      </c>
      <c r="B66">
        <f t="shared" si="7"/>
        <v>3.981071705534953E-12</v>
      </c>
      <c r="C66">
        <f t="shared" si="8"/>
        <v>-0.0025118864275285205</v>
      </c>
      <c r="D66" s="226">
        <f t="shared" si="4"/>
        <v>5.6234020317412695E-15</v>
      </c>
      <c r="E66" s="227">
        <f t="shared" si="5"/>
        <v>1.9952583339051014E-06</v>
      </c>
      <c r="F66" s="227">
        <f t="shared" si="6"/>
        <v>0.9999980047416606</v>
      </c>
      <c r="G66" s="232">
        <f t="shared" si="9"/>
        <v>0.05193240475187504</v>
      </c>
      <c r="H66" s="232">
        <f t="shared" si="10"/>
        <v>51.93240475187504</v>
      </c>
    </row>
    <row r="67" spans="1:8" ht="12.75">
      <c r="A67">
        <v>11.6</v>
      </c>
      <c r="B67">
        <f t="shared" si="7"/>
        <v>2.5118864315095726E-12</v>
      </c>
      <c r="C67">
        <f t="shared" si="8"/>
        <v>-0.003981071703023098</v>
      </c>
      <c r="D67" s="226">
        <f t="shared" si="4"/>
        <v>2.2387183201889457E-15</v>
      </c>
      <c r="E67" s="227">
        <f t="shared" si="5"/>
        <v>1.2589238269029663E-06</v>
      </c>
      <c r="F67" s="227">
        <f t="shared" si="6"/>
        <v>0.9999987410761708</v>
      </c>
      <c r="G67" s="232">
        <f t="shared" si="9"/>
        <v>0.05310956637105639</v>
      </c>
      <c r="H67" s="232">
        <f t="shared" si="10"/>
        <v>53.10956637105639</v>
      </c>
    </row>
    <row r="68" spans="1:8" ht="12.75">
      <c r="A68">
        <v>11.8</v>
      </c>
      <c r="B68">
        <f t="shared" si="7"/>
        <v>1.5848931924611065E-12</v>
      </c>
      <c r="C68">
        <f t="shared" si="8"/>
        <v>-0.006309573443217067</v>
      </c>
      <c r="D68" s="226">
        <f t="shared" si="4"/>
        <v>8.91250230188518E-16</v>
      </c>
      <c r="E68" s="227">
        <f t="shared" si="5"/>
        <v>7.943276037674358E-07</v>
      </c>
      <c r="F68" s="227">
        <f t="shared" si="6"/>
        <v>0.9999992056723953</v>
      </c>
      <c r="G68" s="232">
        <f t="shared" si="9"/>
        <v>0.055050847133623244</v>
      </c>
      <c r="H68" s="232">
        <f t="shared" si="10"/>
        <v>55.05084713362324</v>
      </c>
    </row>
    <row r="69" spans="1:8" ht="12.75">
      <c r="A69">
        <v>12</v>
      </c>
      <c r="B69">
        <f t="shared" si="7"/>
        <v>1E-12</v>
      </c>
      <c r="C69">
        <f t="shared" si="8"/>
        <v>-0.009999999999</v>
      </c>
      <c r="D69" s="226">
        <f t="shared" si="4"/>
        <v>3.548132114057247E-16</v>
      </c>
      <c r="E69" s="227">
        <f t="shared" si="5"/>
        <v>5.01186982438756E-07</v>
      </c>
      <c r="F69" s="227">
        <f t="shared" si="6"/>
        <v>0.9999994988130172</v>
      </c>
      <c r="G69" s="232">
        <f t="shared" si="9"/>
        <v>0.058333319410546765</v>
      </c>
      <c r="H69" s="232">
        <f t="shared" si="10"/>
        <v>58.333319410546764</v>
      </c>
    </row>
    <row r="70" spans="1:8" ht="12.75">
      <c r="A70">
        <v>12.2</v>
      </c>
      <c r="B70">
        <f t="shared" si="7"/>
        <v>6.309573444801928E-13</v>
      </c>
      <c r="C70">
        <f t="shared" si="8"/>
        <v>-0.015848931923980188</v>
      </c>
      <c r="D70" s="226">
        <f t="shared" si="4"/>
        <v>1.4125370979393062E-16</v>
      </c>
      <c r="E70" s="227">
        <f t="shared" si="5"/>
        <v>3.1622766601687E-07</v>
      </c>
      <c r="F70" s="227">
        <f t="shared" si="6"/>
        <v>0.9999996837723338</v>
      </c>
      <c r="G70" s="232">
        <f t="shared" si="9"/>
        <v>0.06412541909338021</v>
      </c>
      <c r="H70" s="232">
        <f t="shared" si="10"/>
        <v>64.1254190933802</v>
      </c>
    </row>
    <row r="71" spans="1:8" ht="12.75">
      <c r="A71">
        <v>12.4</v>
      </c>
      <c r="B71">
        <f t="shared" si="7"/>
        <v>3.981071705534963E-13</v>
      </c>
      <c r="C71">
        <f t="shared" si="8"/>
        <v>-0.02511886431469775</v>
      </c>
      <c r="D71" s="226">
        <f t="shared" si="4"/>
        <v>5.623412129885254E-17</v>
      </c>
      <c r="E71" s="227">
        <f t="shared" si="5"/>
        <v>1.9952619168617886E-07</v>
      </c>
      <c r="F71" s="227">
        <f t="shared" si="6"/>
        <v>0.9999998004738083</v>
      </c>
      <c r="G71" s="232">
        <f t="shared" si="9"/>
        <v>0.07515873066755088</v>
      </c>
      <c r="H71" s="232">
        <f t="shared" si="10"/>
        <v>75.15873066755088</v>
      </c>
    </row>
    <row r="72" spans="1:8" ht="12.75">
      <c r="A72">
        <v>12.6</v>
      </c>
      <c r="B72">
        <f t="shared" si="7"/>
        <v>2.511886431509579E-13</v>
      </c>
      <c r="C72">
        <f t="shared" si="8"/>
        <v>-0.03981071705509855</v>
      </c>
      <c r="D72" s="226">
        <f t="shared" si="4"/>
        <v>2.2387208567300876E-17</v>
      </c>
      <c r="E72" s="227">
        <f t="shared" si="5"/>
        <v>1.2589252533048703E-07</v>
      </c>
      <c r="F72" s="227">
        <f t="shared" si="6"/>
        <v>0.9999998741074746</v>
      </c>
      <c r="G72" s="232">
        <f t="shared" si="9"/>
        <v>0.0996068954191454</v>
      </c>
      <c r="H72" s="232">
        <f t="shared" si="10"/>
        <v>99.6068954191454</v>
      </c>
    </row>
    <row r="73" spans="1:8" ht="12.75">
      <c r="A73">
        <v>12.8</v>
      </c>
      <c r="B73">
        <f aca="true" t="shared" si="11" ref="B73:B79">10^-A73</f>
        <v>1.5848931924611046E-13</v>
      </c>
      <c r="C73">
        <f aca="true" t="shared" si="12" ref="C73:C79">B73-$B$2/B73</f>
        <v>-0.0630957344478612</v>
      </c>
      <c r="D73" s="226">
        <f t="shared" si="4"/>
        <v>8.912508673391657E-18</v>
      </c>
      <c r="E73" s="227">
        <f t="shared" si="5"/>
        <v>7.943281716285495E-08</v>
      </c>
      <c r="F73" s="227">
        <f t="shared" si="6"/>
        <v>0.9999999205671828</v>
      </c>
      <c r="G73" s="232">
        <f aca="true" t="shared" si="13" ref="G73:G79">$H$4*($H$3*(2*F73+E73)-C73)/($J$3+C73)</f>
        <v>0.17822853440402067</v>
      </c>
      <c r="H73" s="232">
        <f aca="true" t="shared" si="14" ref="H73:H79">G73*1000</f>
        <v>178.22853440402068</v>
      </c>
    </row>
    <row r="74" spans="1:8" ht="12.75">
      <c r="A74">
        <v>13</v>
      </c>
      <c r="B74">
        <f t="shared" si="11"/>
        <v>1E-13</v>
      </c>
      <c r="C74">
        <f t="shared" si="12"/>
        <v>-0.09999999999989999</v>
      </c>
      <c r="D74" s="226">
        <f aca="true" t="shared" si="15" ref="D74:D79">$B74^2/($B74^2+$B74*$B$4+$B$4*$D$4)</f>
        <v>3.548133714507835E-18</v>
      </c>
      <c r="E74" s="227">
        <f aca="true" t="shared" si="16" ref="E74:E79">$B74*$B$4/($B74^2+$B74*$B$4+$B$4*$D$4)</f>
        <v>5.011872085084104E-08</v>
      </c>
      <c r="F74" s="227">
        <f aca="true" t="shared" si="17" ref="F74:F79">$B$4*$D$4/($B74^2+$B74*$B$4+$B$4*$D$4)</f>
        <v>0.9999999498812792</v>
      </c>
      <c r="G74" s="232">
        <f t="shared" si="13"/>
        <v>74987088421.76958</v>
      </c>
      <c r="H74" s="232">
        <f t="shared" si="14"/>
        <v>74987088421769.58</v>
      </c>
    </row>
    <row r="75" spans="1:8" ht="12.75">
      <c r="A75">
        <v>13.2</v>
      </c>
      <c r="B75">
        <f t="shared" si="11"/>
        <v>6.309573444801921E-14</v>
      </c>
      <c r="C75">
        <f t="shared" si="12"/>
        <v>-0.15848931924604853</v>
      </c>
      <c r="D75" s="226">
        <f t="shared" si="15"/>
        <v>1.4125374999543965E-18</v>
      </c>
      <c r="E75" s="227">
        <f t="shared" si="16"/>
        <v>3.162277560168384E-08</v>
      </c>
      <c r="F75" s="227">
        <f t="shared" si="17"/>
        <v>0.9999999683772244</v>
      </c>
      <c r="G75" s="232">
        <f t="shared" si="13"/>
        <v>-0.15322853843438694</v>
      </c>
      <c r="H75" s="232">
        <f t="shared" si="14"/>
        <v>-153.22853843438693</v>
      </c>
    </row>
    <row r="76" spans="1:8" ht="12.75">
      <c r="A76">
        <v>13.4</v>
      </c>
      <c r="B76">
        <f t="shared" si="11"/>
        <v>3.981071705534959E-14</v>
      </c>
      <c r="C76">
        <f t="shared" si="12"/>
        <v>-0.25118864315091904</v>
      </c>
      <c r="D76" s="226">
        <f t="shared" si="15"/>
        <v>5.62341313970163E-19</v>
      </c>
      <c r="E76" s="227">
        <f t="shared" si="16"/>
        <v>1.9952622751581617E-08</v>
      </c>
      <c r="F76" s="227">
        <f t="shared" si="17"/>
        <v>0.9999999800473773</v>
      </c>
      <c r="G76" s="232">
        <f t="shared" si="13"/>
        <v>-0.07460690031877473</v>
      </c>
      <c r="H76" s="232">
        <f t="shared" si="14"/>
        <v>-74.60690031877473</v>
      </c>
    </row>
    <row r="77" spans="1:8" ht="12.75">
      <c r="A77">
        <v>13.6</v>
      </c>
      <c r="B77">
        <f t="shared" si="11"/>
        <v>2.511886431509576E-14</v>
      </c>
      <c r="C77">
        <f t="shared" si="12"/>
        <v>-0.3981071705534728</v>
      </c>
      <c r="D77" s="226">
        <f t="shared" si="15"/>
        <v>2.2387211103845115E-19</v>
      </c>
      <c r="E77" s="227">
        <f t="shared" si="16"/>
        <v>1.2589253959452363E-08</v>
      </c>
      <c r="F77" s="227">
        <f t="shared" si="17"/>
        <v>0.9999999874107461</v>
      </c>
      <c r="G77" s="232">
        <f t="shared" si="13"/>
        <v>-0.050158737223939265</v>
      </c>
      <c r="H77" s="232">
        <f t="shared" si="14"/>
        <v>-50.15873722393926</v>
      </c>
    </row>
    <row r="78" spans="1:8" ht="12.75">
      <c r="A78">
        <v>13.8</v>
      </c>
      <c r="B78">
        <f t="shared" si="11"/>
        <v>1.5848931924611084E-14</v>
      </c>
      <c r="C78">
        <f t="shared" si="12"/>
        <v>-0.6309573444801794</v>
      </c>
      <c r="D78" s="226">
        <f t="shared" si="15"/>
        <v>8.912509310542851E-20</v>
      </c>
      <c r="E78" s="227">
        <f t="shared" si="16"/>
        <v>7.943282284147073E-09</v>
      </c>
      <c r="F78" s="227">
        <f t="shared" si="17"/>
        <v>0.9999999920567176</v>
      </c>
      <c r="G78" s="232">
        <f t="shared" si="13"/>
        <v>-0.03912542845129016</v>
      </c>
      <c r="H78" s="232">
        <f t="shared" si="14"/>
        <v>-39.12542845129016</v>
      </c>
    </row>
    <row r="79" spans="1:8" ht="12.75">
      <c r="A79">
        <v>14</v>
      </c>
      <c r="B79">
        <f t="shared" si="11"/>
        <v>1E-14</v>
      </c>
      <c r="C79">
        <f t="shared" si="12"/>
        <v>-0.99999999999999</v>
      </c>
      <c r="D79" s="226">
        <f t="shared" si="15"/>
        <v>3.5481338745529727E-20</v>
      </c>
      <c r="E79" s="227">
        <f t="shared" si="16"/>
        <v>5.011872311153871E-09</v>
      </c>
      <c r="F79" s="227">
        <f t="shared" si="17"/>
        <v>0.9999999949881277</v>
      </c>
      <c r="G79" s="232">
        <f t="shared" si="13"/>
        <v>-0.03333333331941156</v>
      </c>
      <c r="H79" s="233">
        <f t="shared" si="14"/>
        <v>-33.33333331941156</v>
      </c>
    </row>
  </sheetData>
  <mergeCells count="1">
    <mergeCell ref="D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H9" sqref="H9"/>
    </sheetView>
  </sheetViews>
  <sheetFormatPr defaultColWidth="9.140625" defaultRowHeight="12.75"/>
  <cols>
    <col min="6" max="6" width="10.7109375" style="0" customWidth="1"/>
    <col min="7" max="7" width="10.28125" style="0" customWidth="1"/>
  </cols>
  <sheetData>
    <row r="1" ht="12.75">
      <c r="A1" s="1" t="s">
        <v>94</v>
      </c>
    </row>
    <row r="2" spans="1:2" ht="15.75">
      <c r="A2" s="209" t="s">
        <v>3</v>
      </c>
      <c r="B2">
        <f>10^-14</f>
        <v>1E-14</v>
      </c>
    </row>
    <row r="3" spans="1:9" ht="15.75">
      <c r="A3" t="s">
        <v>80</v>
      </c>
      <c r="B3" s="239">
        <v>4.76</v>
      </c>
      <c r="F3" s="209" t="s">
        <v>86</v>
      </c>
      <c r="G3" s="239">
        <v>0.102</v>
      </c>
      <c r="H3" s="209" t="s">
        <v>88</v>
      </c>
      <c r="I3" s="239">
        <v>0.1</v>
      </c>
    </row>
    <row r="4" spans="1:7" ht="15.75">
      <c r="A4" s="209" t="s">
        <v>81</v>
      </c>
      <c r="B4" s="208">
        <f>10^-B3</f>
        <v>1.7378008287493744E-05</v>
      </c>
      <c r="F4" s="209" t="s">
        <v>87</v>
      </c>
      <c r="G4" s="239">
        <v>0.025</v>
      </c>
    </row>
    <row r="6" spans="4:5" ht="39" customHeight="1">
      <c r="D6" s="274" t="s">
        <v>97</v>
      </c>
      <c r="E6" s="275"/>
    </row>
    <row r="7" spans="4:5" ht="15">
      <c r="D7" s="235" t="s">
        <v>91</v>
      </c>
      <c r="E7" s="238" t="s">
        <v>92</v>
      </c>
    </row>
    <row r="8" spans="1:7" ht="15">
      <c r="A8" s="1" t="s">
        <v>2</v>
      </c>
      <c r="B8" s="1" t="s">
        <v>65</v>
      </c>
      <c r="C8" s="1" t="s">
        <v>64</v>
      </c>
      <c r="D8" s="240" t="s">
        <v>68</v>
      </c>
      <c r="E8" s="240" t="s">
        <v>69</v>
      </c>
      <c r="F8" s="234" t="s">
        <v>96</v>
      </c>
      <c r="G8" s="241" t="s">
        <v>79</v>
      </c>
    </row>
    <row r="9" spans="1:7" ht="12.75">
      <c r="A9">
        <v>0</v>
      </c>
      <c r="B9">
        <f aca="true" t="shared" si="0" ref="B9:B40">10^-A9</f>
        <v>1</v>
      </c>
      <c r="C9">
        <f aca="true" t="shared" si="1" ref="C9:C40">B9-$B$2/B9</f>
        <v>0.99999999999999</v>
      </c>
      <c r="D9" s="226">
        <f>$B9/($B9+$B$4)</f>
        <v>0.9999826222937024</v>
      </c>
      <c r="E9" s="227">
        <f>$B$4/($B9+$B$4)</f>
        <v>1.7377706297569686E-05</v>
      </c>
      <c r="F9" s="242">
        <f>$G$4*($G$3*E9-C9)/($I$3+C9)</f>
        <v>-0.022727232442589927</v>
      </c>
      <c r="G9" s="243">
        <f aca="true" t="shared" si="2" ref="G9:G40">F9*1000</f>
        <v>-22.727232442589926</v>
      </c>
    </row>
    <row r="10" spans="1:7" ht="12.75">
      <c r="A10">
        <v>0.2</v>
      </c>
      <c r="B10">
        <f t="shared" si="0"/>
        <v>0.6309573444801932</v>
      </c>
      <c r="C10">
        <f t="shared" si="1"/>
        <v>0.6309573444801774</v>
      </c>
      <c r="D10" s="226">
        <f aca="true" t="shared" si="3" ref="D10:D73">$B10/($B10+$B$4)</f>
        <v>0.9999724584715233</v>
      </c>
      <c r="E10" s="227">
        <f aca="true" t="shared" si="4" ref="E10:E73">$B$4/($B10+$B$4)</f>
        <v>2.7541528476699003E-05</v>
      </c>
      <c r="F10" s="242">
        <f aca="true" t="shared" si="5" ref="F10:F73">$G$4*($G$3*E10-C10)/($I$3+C10)</f>
        <v>-0.02157973170421381</v>
      </c>
      <c r="G10" s="243">
        <f t="shared" si="2"/>
        <v>-21.57973170421381</v>
      </c>
    </row>
    <row r="11" spans="1:7" ht="12.75">
      <c r="A11">
        <v>0.4</v>
      </c>
      <c r="B11">
        <f t="shared" si="0"/>
        <v>0.3981071705534972</v>
      </c>
      <c r="C11">
        <f t="shared" si="1"/>
        <v>0.39810717055347206</v>
      </c>
      <c r="D11" s="226">
        <f t="shared" si="3"/>
        <v>0.9999563503221536</v>
      </c>
      <c r="E11" s="227">
        <f t="shared" si="4"/>
        <v>4.364967784647136E-05</v>
      </c>
      <c r="F11" s="242">
        <f t="shared" si="5"/>
        <v>-0.019980776317874507</v>
      </c>
      <c r="G11" s="243">
        <f t="shared" si="2"/>
        <v>-19.980776317874508</v>
      </c>
    </row>
    <row r="12" spans="1:7" ht="12.75">
      <c r="A12">
        <v>0.6</v>
      </c>
      <c r="B12">
        <f t="shared" si="0"/>
        <v>0.251188643150958</v>
      </c>
      <c r="C12">
        <f t="shared" si="1"/>
        <v>0.2511886431509182</v>
      </c>
      <c r="D12" s="226">
        <f t="shared" si="3"/>
        <v>0.9999308216888779</v>
      </c>
      <c r="E12" s="227">
        <f t="shared" si="4"/>
        <v>6.917831112207859E-05</v>
      </c>
      <c r="F12" s="242">
        <f t="shared" si="5"/>
        <v>-0.01788081646871779</v>
      </c>
      <c r="G12" s="243">
        <f t="shared" si="2"/>
        <v>-17.88081646871779</v>
      </c>
    </row>
    <row r="13" spans="1:7" ht="12.75">
      <c r="A13">
        <v>0.8</v>
      </c>
      <c r="B13">
        <f t="shared" si="0"/>
        <v>0.15848931924611132</v>
      </c>
      <c r="C13">
        <f t="shared" si="1"/>
        <v>0.15848931924604823</v>
      </c>
      <c r="D13" s="226">
        <f t="shared" si="3"/>
        <v>0.999890364201712</v>
      </c>
      <c r="E13" s="227">
        <f t="shared" si="4"/>
        <v>0.00010963579828808448</v>
      </c>
      <c r="F13" s="242">
        <f t="shared" si="5"/>
        <v>-0.015327338945460673</v>
      </c>
      <c r="G13" s="243">
        <f t="shared" si="2"/>
        <v>-15.327338945460673</v>
      </c>
    </row>
    <row r="14" spans="1:7" ht="12.75">
      <c r="A14">
        <v>1</v>
      </c>
      <c r="B14">
        <f t="shared" si="0"/>
        <v>0.1</v>
      </c>
      <c r="C14">
        <f t="shared" si="1"/>
        <v>0.0999999999999</v>
      </c>
      <c r="D14" s="226">
        <f t="shared" si="3"/>
        <v>0.9998262501113951</v>
      </c>
      <c r="E14" s="227">
        <f t="shared" si="4"/>
        <v>0.00017374988860489616</v>
      </c>
      <c r="F14" s="242">
        <f t="shared" si="5"/>
        <v>-0.012497784688914037</v>
      </c>
      <c r="G14" s="243">
        <f t="shared" si="2"/>
        <v>-12.497784688914036</v>
      </c>
    </row>
    <row r="15" spans="1:7" ht="12.75">
      <c r="A15">
        <v>1.2</v>
      </c>
      <c r="B15">
        <f t="shared" si="0"/>
        <v>0.06309573444801932</v>
      </c>
      <c r="C15">
        <f t="shared" si="1"/>
        <v>0.06309573444786083</v>
      </c>
      <c r="D15" s="226">
        <f t="shared" si="3"/>
        <v>0.9997246529665365</v>
      </c>
      <c r="E15" s="227">
        <f t="shared" si="4"/>
        <v>0.00027534703346352205</v>
      </c>
      <c r="F15" s="242">
        <f t="shared" si="5"/>
        <v>-0.009667274448340845</v>
      </c>
      <c r="G15" s="243">
        <f t="shared" si="2"/>
        <v>-9.667274448340846</v>
      </c>
    </row>
    <row r="16" spans="1:7" ht="12.75">
      <c r="A16">
        <v>1.4</v>
      </c>
      <c r="B16">
        <f t="shared" si="0"/>
        <v>0.03981071705534973</v>
      </c>
      <c r="C16">
        <f t="shared" si="1"/>
        <v>0.03981071705509854</v>
      </c>
      <c r="D16" s="226">
        <f t="shared" si="3"/>
        <v>0.9995636746306915</v>
      </c>
      <c r="E16" s="227">
        <f t="shared" si="4"/>
        <v>0.00043632536930845447</v>
      </c>
      <c r="F16" s="242">
        <f t="shared" si="5"/>
        <v>-0.00711072310925876</v>
      </c>
      <c r="G16" s="243">
        <f t="shared" si="2"/>
        <v>-7.11072310925876</v>
      </c>
    </row>
    <row r="17" spans="1:7" ht="12.75">
      <c r="A17">
        <v>1.6</v>
      </c>
      <c r="B17">
        <f t="shared" si="0"/>
        <v>0.02511886431509578</v>
      </c>
      <c r="C17">
        <f t="shared" si="1"/>
        <v>0.025118864314697672</v>
      </c>
      <c r="D17" s="226">
        <f t="shared" si="3"/>
        <v>0.9993086473282712</v>
      </c>
      <c r="E17" s="227">
        <f t="shared" si="4"/>
        <v>0.000691352671728807</v>
      </c>
      <c r="F17" s="242">
        <f t="shared" si="5"/>
        <v>-0.0050049100268325635</v>
      </c>
      <c r="G17" s="243">
        <f t="shared" si="2"/>
        <v>-5.0049100268325635</v>
      </c>
    </row>
    <row r="18" spans="1:7" ht="12.75">
      <c r="A18">
        <v>1.8</v>
      </c>
      <c r="B18">
        <f t="shared" si="0"/>
        <v>0.015848931924611124</v>
      </c>
      <c r="C18">
        <f t="shared" si="1"/>
        <v>0.015848931923980167</v>
      </c>
      <c r="D18" s="226">
        <f t="shared" si="3"/>
        <v>0.9989047227514786</v>
      </c>
      <c r="E18" s="227">
        <f t="shared" si="4"/>
        <v>0.0010952772485214495</v>
      </c>
      <c r="F18" s="242">
        <f t="shared" si="5"/>
        <v>-0.0033960636026747547</v>
      </c>
      <c r="G18" s="243">
        <f t="shared" si="2"/>
        <v>-3.396063602674755</v>
      </c>
    </row>
    <row r="19" spans="1:7" ht="12.75">
      <c r="A19">
        <v>2</v>
      </c>
      <c r="B19">
        <f t="shared" si="0"/>
        <v>0.01</v>
      </c>
      <c r="C19">
        <f t="shared" si="1"/>
        <v>0.009999999999</v>
      </c>
      <c r="D19" s="226">
        <f t="shared" si="3"/>
        <v>0.9982652138840007</v>
      </c>
      <c r="E19" s="227">
        <f t="shared" si="4"/>
        <v>0.0017347861159992877</v>
      </c>
      <c r="F19" s="242">
        <f t="shared" si="5"/>
        <v>-0.0022325117761948575</v>
      </c>
      <c r="G19" s="243">
        <f t="shared" si="2"/>
        <v>-2.2325117761948574</v>
      </c>
    </row>
    <row r="20" spans="1:7" ht="12.75">
      <c r="A20">
        <v>2.2</v>
      </c>
      <c r="B20">
        <f t="shared" si="0"/>
        <v>0.006309573444801925</v>
      </c>
      <c r="C20">
        <f t="shared" si="1"/>
        <v>0.006309573443217032</v>
      </c>
      <c r="D20" s="226">
        <f t="shared" si="3"/>
        <v>0.9972533362368367</v>
      </c>
      <c r="E20" s="227">
        <f t="shared" si="4"/>
        <v>0.0027466637631632447</v>
      </c>
      <c r="F20" s="242">
        <f t="shared" si="5"/>
        <v>-0.0014178905869175703</v>
      </c>
      <c r="G20" s="243">
        <f t="shared" si="2"/>
        <v>-1.4178905869175704</v>
      </c>
    </row>
    <row r="21" spans="1:7" ht="12.75">
      <c r="A21">
        <v>2.4</v>
      </c>
      <c r="B21">
        <f t="shared" si="0"/>
        <v>0.003981071705534972</v>
      </c>
      <c r="C21">
        <f t="shared" si="1"/>
        <v>0.003981071703023085</v>
      </c>
      <c r="D21" s="226">
        <f t="shared" si="3"/>
        <v>0.9956538134699008</v>
      </c>
      <c r="E21" s="227">
        <f t="shared" si="4"/>
        <v>0.004346186530099085</v>
      </c>
      <c r="F21" s="242">
        <f t="shared" si="5"/>
        <v>-0.0008505780472856301</v>
      </c>
      <c r="G21" s="243">
        <f t="shared" si="2"/>
        <v>-0.8505780472856301</v>
      </c>
    </row>
    <row r="22" spans="1:7" ht="12.75">
      <c r="A22">
        <v>2.6</v>
      </c>
      <c r="B22">
        <f t="shared" si="0"/>
        <v>0.0025118864315095777</v>
      </c>
      <c r="C22">
        <f t="shared" si="1"/>
        <v>0.002511886427528506</v>
      </c>
      <c r="D22" s="226">
        <f t="shared" si="3"/>
        <v>0.993129224444049</v>
      </c>
      <c r="E22" s="227">
        <f t="shared" si="4"/>
        <v>0.006870775555950971</v>
      </c>
      <c r="F22" s="242">
        <f t="shared" si="5"/>
        <v>-0.00044167251816740633</v>
      </c>
      <c r="G22" s="243">
        <f t="shared" si="2"/>
        <v>-0.4416725181674063</v>
      </c>
    </row>
    <row r="23" spans="1:7" ht="12.75">
      <c r="A23">
        <v>2.8</v>
      </c>
      <c r="B23">
        <f t="shared" si="0"/>
        <v>0.0015848931924611134</v>
      </c>
      <c r="C23">
        <f t="shared" si="1"/>
        <v>0.00158489318615154</v>
      </c>
      <c r="D23" s="226">
        <f t="shared" si="3"/>
        <v>0.9891541405229187</v>
      </c>
      <c r="E23" s="227">
        <f t="shared" si="4"/>
        <v>0.010845859477081318</v>
      </c>
      <c r="F23" s="242">
        <f t="shared" si="5"/>
        <v>-0.00011778708045993505</v>
      </c>
      <c r="G23" s="243">
        <f t="shared" si="2"/>
        <v>-0.11778708045993505</v>
      </c>
    </row>
    <row r="24" spans="1:7" ht="12.75">
      <c r="A24">
        <v>3</v>
      </c>
      <c r="B24">
        <f t="shared" si="0"/>
        <v>0.001</v>
      </c>
      <c r="C24">
        <f t="shared" si="1"/>
        <v>0.00099999999</v>
      </c>
      <c r="D24" s="226">
        <f t="shared" si="3"/>
        <v>0.9829188284532066</v>
      </c>
      <c r="E24" s="227">
        <f t="shared" si="4"/>
        <v>0.017081171546793464</v>
      </c>
      <c r="F24" s="242">
        <f t="shared" si="5"/>
        <v>0.00018373255144713517</v>
      </c>
      <c r="G24" s="243">
        <f t="shared" si="2"/>
        <v>0.18373255144713518</v>
      </c>
    </row>
    <row r="25" spans="1:7" ht="12.75">
      <c r="A25">
        <v>3.2</v>
      </c>
      <c r="B25">
        <f t="shared" si="0"/>
        <v>0.0006309573444801924</v>
      </c>
      <c r="C25">
        <f t="shared" si="1"/>
        <v>0.0006309573286312605</v>
      </c>
      <c r="D25" s="226">
        <f t="shared" si="3"/>
        <v>0.9731959575961598</v>
      </c>
      <c r="E25" s="227">
        <f t="shared" si="4"/>
        <v>0.026804042403840184</v>
      </c>
      <c r="F25" s="242">
        <f t="shared" si="5"/>
        <v>0.0005224672040266089</v>
      </c>
      <c r="G25" s="243">
        <f t="shared" si="2"/>
        <v>0.5224672040266088</v>
      </c>
    </row>
    <row r="26" spans="1:7" ht="12.75">
      <c r="A26">
        <v>3.4</v>
      </c>
      <c r="B26">
        <f t="shared" si="0"/>
        <v>0.0003981071705534971</v>
      </c>
      <c r="C26">
        <f t="shared" si="1"/>
        <v>0.0003981071454346328</v>
      </c>
      <c r="D26" s="226">
        <f t="shared" si="3"/>
        <v>0.9581741800370105</v>
      </c>
      <c r="E26" s="227">
        <f t="shared" si="4"/>
        <v>0.04182581996298942</v>
      </c>
      <c r="F26" s="242">
        <f t="shared" si="5"/>
        <v>0.0009631970663518087</v>
      </c>
      <c r="G26" s="243">
        <f t="shared" si="2"/>
        <v>0.9631970663518087</v>
      </c>
    </row>
    <row r="27" spans="1:7" ht="12.75">
      <c r="A27">
        <v>3.6</v>
      </c>
      <c r="B27">
        <f t="shared" si="0"/>
        <v>0.00025118864315095774</v>
      </c>
      <c r="C27">
        <f t="shared" si="1"/>
        <v>0.0002511886033402407</v>
      </c>
      <c r="D27" s="226">
        <f t="shared" si="3"/>
        <v>0.9352934990460782</v>
      </c>
      <c r="E27" s="227">
        <f t="shared" si="4"/>
        <v>0.06470650095392179</v>
      </c>
      <c r="F27" s="242">
        <f t="shared" si="5"/>
        <v>0.00158324170077427</v>
      </c>
      <c r="G27" s="243">
        <f t="shared" si="2"/>
        <v>1.58324170077427</v>
      </c>
    </row>
    <row r="28" spans="1:7" ht="12.75">
      <c r="A28">
        <v>3.8</v>
      </c>
      <c r="B28">
        <f t="shared" si="0"/>
        <v>0.0001584893192461112</v>
      </c>
      <c r="C28">
        <f t="shared" si="1"/>
        <v>0.00015848925615037675</v>
      </c>
      <c r="D28" s="226">
        <f t="shared" si="3"/>
        <v>0.9011868291216677</v>
      </c>
      <c r="E28" s="227">
        <f t="shared" si="4"/>
        <v>0.09881317087833233</v>
      </c>
      <c r="F28" s="242">
        <f t="shared" si="5"/>
        <v>0.002476189049754048</v>
      </c>
      <c r="G28" s="243">
        <f t="shared" si="2"/>
        <v>2.4761890497540477</v>
      </c>
    </row>
    <row r="29" spans="1:7" ht="12.75">
      <c r="A29">
        <v>4</v>
      </c>
      <c r="B29">
        <f t="shared" si="0"/>
        <v>0.0001</v>
      </c>
      <c r="C29">
        <f t="shared" si="1"/>
        <v>9.999990000000001E-05</v>
      </c>
      <c r="D29" s="226">
        <f t="shared" si="3"/>
        <v>0.8519483458525738</v>
      </c>
      <c r="E29" s="227">
        <f t="shared" si="4"/>
        <v>0.14805165414742613</v>
      </c>
      <c r="F29" s="242">
        <f t="shared" si="5"/>
        <v>0.00374657063886707</v>
      </c>
      <c r="G29" s="243">
        <f t="shared" si="2"/>
        <v>3.74657063886707</v>
      </c>
    </row>
    <row r="30" spans="1:7" ht="12.75">
      <c r="A30">
        <v>4.2</v>
      </c>
      <c r="B30">
        <f t="shared" si="0"/>
        <v>6.309573444801928E-05</v>
      </c>
      <c r="C30">
        <f t="shared" si="1"/>
        <v>6.309557595870004E-05</v>
      </c>
      <c r="D30" s="226">
        <f t="shared" si="3"/>
        <v>0.784053683887815</v>
      </c>
      <c r="E30" s="227">
        <f t="shared" si="4"/>
        <v>0.21594631611218496</v>
      </c>
      <c r="F30" s="242">
        <f t="shared" si="5"/>
        <v>0.005487394863476803</v>
      </c>
      <c r="G30" s="243">
        <f t="shared" si="2"/>
        <v>5.487394863476803</v>
      </c>
    </row>
    <row r="31" spans="1:7" ht="12.75">
      <c r="A31">
        <v>4.4</v>
      </c>
      <c r="B31">
        <f t="shared" si="0"/>
        <v>3.9810717055349634E-05</v>
      </c>
      <c r="C31">
        <f t="shared" si="1"/>
        <v>3.9810465866706486E-05</v>
      </c>
      <c r="D31" s="226">
        <f t="shared" si="3"/>
        <v>0.6961287704295995</v>
      </c>
      <c r="E31" s="227">
        <f t="shared" si="4"/>
        <v>0.3038712295704006</v>
      </c>
      <c r="F31" s="242">
        <f t="shared" si="5"/>
        <v>0.007735684125690124</v>
      </c>
      <c r="G31" s="243">
        <f t="shared" si="2"/>
        <v>7.735684125690124</v>
      </c>
    </row>
    <row r="32" spans="1:7" ht="12.75">
      <c r="A32">
        <v>4.6</v>
      </c>
      <c r="B32">
        <f t="shared" si="0"/>
        <v>2.511886431509579E-05</v>
      </c>
      <c r="C32">
        <f t="shared" si="1"/>
        <v>2.5118466207925237E-05</v>
      </c>
      <c r="D32" s="226">
        <f t="shared" si="3"/>
        <v>0.5910755963149434</v>
      </c>
      <c r="E32" s="227">
        <f t="shared" si="4"/>
        <v>0.4089244036850566</v>
      </c>
      <c r="F32" s="242">
        <f t="shared" si="5"/>
        <v>0.010418675665890512</v>
      </c>
      <c r="G32" s="243">
        <f t="shared" si="2"/>
        <v>10.418675665890511</v>
      </c>
    </row>
    <row r="33" spans="1:7" ht="12.75">
      <c r="A33">
        <v>4.8</v>
      </c>
      <c r="B33">
        <f t="shared" si="0"/>
        <v>1.584893192461113E-05</v>
      </c>
      <c r="C33">
        <f t="shared" si="1"/>
        <v>1.584830096726665E-05</v>
      </c>
      <c r="D33" s="226">
        <f t="shared" si="3"/>
        <v>0.47699041270243775</v>
      </c>
      <c r="E33" s="227">
        <f t="shared" si="4"/>
        <v>0.5230095872975621</v>
      </c>
      <c r="F33" s="242">
        <f t="shared" si="5"/>
        <v>0.013330669716188443</v>
      </c>
      <c r="G33" s="243">
        <f t="shared" si="2"/>
        <v>13.330669716188444</v>
      </c>
    </row>
    <row r="34" spans="1:7" ht="12.75">
      <c r="A34">
        <v>5</v>
      </c>
      <c r="B34">
        <f t="shared" si="0"/>
        <v>1E-05</v>
      </c>
      <c r="C34">
        <f t="shared" si="1"/>
        <v>9.999E-06</v>
      </c>
      <c r="D34" s="226">
        <f t="shared" si="3"/>
        <v>0.36525666494768333</v>
      </c>
      <c r="E34" s="227">
        <f t="shared" si="4"/>
        <v>0.6347433350523166</v>
      </c>
      <c r="F34" s="242">
        <f t="shared" si="5"/>
        <v>0.016181837271925254</v>
      </c>
      <c r="G34" s="243">
        <f t="shared" si="2"/>
        <v>16.181837271925254</v>
      </c>
    </row>
    <row r="35" spans="1:7" ht="12.75">
      <c r="A35">
        <v>5.2</v>
      </c>
      <c r="B35">
        <f t="shared" si="0"/>
        <v>6.309573444801921E-06</v>
      </c>
      <c r="C35">
        <f t="shared" si="1"/>
        <v>6.30798855160946E-06</v>
      </c>
      <c r="D35" s="226">
        <f t="shared" si="3"/>
        <v>0.26636629758619235</v>
      </c>
      <c r="E35" s="227">
        <f t="shared" si="4"/>
        <v>0.7336337024138077</v>
      </c>
      <c r="F35" s="242">
        <f t="shared" si="5"/>
        <v>0.018704902511305188</v>
      </c>
      <c r="G35" s="243">
        <f t="shared" si="2"/>
        <v>18.70490251130519</v>
      </c>
    </row>
    <row r="36" spans="1:7" ht="12.75">
      <c r="A36">
        <v>5.4</v>
      </c>
      <c r="B36">
        <f t="shared" si="0"/>
        <v>3.981071705534966E-06</v>
      </c>
      <c r="C36">
        <f t="shared" si="1"/>
        <v>3.978559819103456E-06</v>
      </c>
      <c r="D36" s="226">
        <f t="shared" si="3"/>
        <v>0.1863877894944131</v>
      </c>
      <c r="E36" s="227">
        <f t="shared" si="4"/>
        <v>0.8136122105055869</v>
      </c>
      <c r="F36" s="242">
        <f t="shared" si="5"/>
        <v>0.020745291364111115</v>
      </c>
      <c r="G36" s="243">
        <f t="shared" si="2"/>
        <v>20.745291364111115</v>
      </c>
    </row>
    <row r="37" spans="1:7" ht="12.75">
      <c r="A37">
        <v>5.6</v>
      </c>
      <c r="B37">
        <f t="shared" si="0"/>
        <v>2.5118864315095806E-06</v>
      </c>
      <c r="C37">
        <f t="shared" si="1"/>
        <v>2.5079053598040454E-06</v>
      </c>
      <c r="D37" s="226">
        <f t="shared" si="3"/>
        <v>0.12628957905491872</v>
      </c>
      <c r="E37" s="227">
        <f t="shared" si="4"/>
        <v>0.8737104209450812</v>
      </c>
      <c r="F37" s="242">
        <f t="shared" si="5"/>
        <v>0.022278430035818673</v>
      </c>
      <c r="G37" s="243">
        <f t="shared" si="2"/>
        <v>22.278430035818673</v>
      </c>
    </row>
    <row r="38" spans="1:7" ht="12.75">
      <c r="A38">
        <v>5.8</v>
      </c>
      <c r="B38">
        <f t="shared" si="0"/>
        <v>1.5848931924611111E-06</v>
      </c>
      <c r="C38">
        <f t="shared" si="1"/>
        <v>1.5785836190163092E-06</v>
      </c>
      <c r="D38" s="226">
        <f t="shared" si="3"/>
        <v>0.0835786229304865</v>
      </c>
      <c r="E38" s="227">
        <f t="shared" si="4"/>
        <v>0.9164213770695134</v>
      </c>
      <c r="F38" s="242">
        <f t="shared" si="5"/>
        <v>0.023367981586238422</v>
      </c>
      <c r="G38" s="243">
        <f t="shared" si="2"/>
        <v>23.36798158623842</v>
      </c>
    </row>
    <row r="39" spans="1:7" ht="12.75">
      <c r="A39">
        <v>6</v>
      </c>
      <c r="B39">
        <f t="shared" si="0"/>
        <v>1E-06</v>
      </c>
      <c r="C39">
        <f t="shared" si="1"/>
        <v>9.9E-07</v>
      </c>
      <c r="D39" s="226">
        <f t="shared" si="3"/>
        <v>0.054412860433875256</v>
      </c>
      <c r="E39" s="227">
        <f t="shared" si="4"/>
        <v>0.9455871395661247</v>
      </c>
      <c r="F39" s="242">
        <f t="shared" si="5"/>
        <v>0.024111985850276258</v>
      </c>
      <c r="G39" s="243">
        <f t="shared" si="2"/>
        <v>24.11198585027626</v>
      </c>
    </row>
    <row r="40" spans="1:7" ht="12.75">
      <c r="A40">
        <v>6.2</v>
      </c>
      <c r="B40">
        <f t="shared" si="0"/>
        <v>6.309573444801925E-07</v>
      </c>
      <c r="C40">
        <f t="shared" si="1"/>
        <v>6.151084125555814E-07</v>
      </c>
      <c r="D40" s="226">
        <f t="shared" si="3"/>
        <v>0.03503573483198625</v>
      </c>
      <c r="E40" s="227">
        <f t="shared" si="4"/>
        <v>0.9649642651680138</v>
      </c>
      <c r="F40" s="242">
        <f t="shared" si="5"/>
        <v>0.02460628362936059</v>
      </c>
      <c r="G40" s="243">
        <f t="shared" si="2"/>
        <v>24.60628362936059</v>
      </c>
    </row>
    <row r="41" spans="1:7" ht="12.75">
      <c r="A41">
        <v>6.4</v>
      </c>
      <c r="B41">
        <f aca="true" t="shared" si="6" ref="B41:B72">10^-A41</f>
        <v>3.981071705534962E-07</v>
      </c>
      <c r="C41">
        <f aca="true" t="shared" si="7" ref="C41:C72">B41-$B$2/B41</f>
        <v>3.7298830623840034E-07</v>
      </c>
      <c r="D41" s="226">
        <f t="shared" si="3"/>
        <v>0.02239562245717037</v>
      </c>
      <c r="E41" s="227">
        <f t="shared" si="4"/>
        <v>0.9776043775428296</v>
      </c>
      <c r="F41" s="242">
        <f t="shared" si="5"/>
        <v>0.02492872539903496</v>
      </c>
      <c r="G41" s="243">
        <f aca="true" t="shared" si="8" ref="G41:G72">F41*1000</f>
        <v>24.92872539903496</v>
      </c>
    </row>
    <row r="42" spans="1:7" ht="12.75">
      <c r="A42">
        <v>6.6</v>
      </c>
      <c r="B42">
        <f t="shared" si="6"/>
        <v>2.511886431509578E-07</v>
      </c>
      <c r="C42">
        <f t="shared" si="7"/>
        <v>2.1137792609560805E-07</v>
      </c>
      <c r="D42" s="226">
        <f t="shared" si="3"/>
        <v>0.01424844501647823</v>
      </c>
      <c r="E42" s="227">
        <f t="shared" si="4"/>
        <v>0.9857515549835218</v>
      </c>
      <c r="F42" s="242">
        <f t="shared" si="5"/>
        <v>0.025136558674461865</v>
      </c>
      <c r="G42" s="243">
        <f t="shared" si="8"/>
        <v>25.136558674461863</v>
      </c>
    </row>
    <row r="43" spans="1:7" ht="12.75">
      <c r="A43">
        <v>6.8</v>
      </c>
      <c r="B43">
        <f t="shared" si="6"/>
        <v>1.5848931924611122E-07</v>
      </c>
      <c r="C43">
        <f t="shared" si="7"/>
        <v>9.539358479809185E-08</v>
      </c>
      <c r="D43" s="226">
        <f t="shared" si="3"/>
        <v>0.009037683738239644</v>
      </c>
      <c r="E43" s="227">
        <f t="shared" si="4"/>
        <v>0.9909623162617605</v>
      </c>
      <c r="F43" s="242">
        <f t="shared" si="5"/>
        <v>0.025269491110805262</v>
      </c>
      <c r="G43" s="243">
        <f t="shared" si="8"/>
        <v>25.269491110805262</v>
      </c>
    </row>
    <row r="44" spans="1:7" ht="12.75">
      <c r="A44">
        <v>7</v>
      </c>
      <c r="B44">
        <f t="shared" si="6"/>
        <v>1E-07</v>
      </c>
      <c r="C44">
        <f t="shared" si="7"/>
        <v>0</v>
      </c>
      <c r="D44" s="226">
        <f t="shared" si="3"/>
        <v>0.005721475717090387</v>
      </c>
      <c r="E44" s="227">
        <f t="shared" si="4"/>
        <v>0.9942785242829096</v>
      </c>
      <c r="F44" s="242">
        <f t="shared" si="5"/>
        <v>0.025354102369214194</v>
      </c>
      <c r="G44" s="243">
        <f t="shared" si="8"/>
        <v>25.354102369214193</v>
      </c>
    </row>
    <row r="45" spans="1:7" ht="12.75">
      <c r="A45">
        <v>7.2</v>
      </c>
      <c r="B45">
        <f t="shared" si="6"/>
        <v>6.309573444801918E-08</v>
      </c>
      <c r="C45">
        <f t="shared" si="7"/>
        <v>-9.539358479809255E-08</v>
      </c>
      <c r="D45" s="226">
        <f t="shared" si="3"/>
        <v>0.003617645670173267</v>
      </c>
      <c r="E45" s="227">
        <f t="shared" si="4"/>
        <v>0.9963823543298267</v>
      </c>
      <c r="F45" s="242">
        <f t="shared" si="5"/>
        <v>0.025407798121216223</v>
      </c>
      <c r="G45" s="243">
        <f t="shared" si="8"/>
        <v>25.407798121216224</v>
      </c>
    </row>
    <row r="46" spans="1:7" ht="12.75">
      <c r="A46">
        <v>7.4</v>
      </c>
      <c r="B46">
        <f t="shared" si="6"/>
        <v>3.981071705534957E-08</v>
      </c>
      <c r="C46">
        <f t="shared" si="7"/>
        <v>-2.113779260956094E-07</v>
      </c>
      <c r="D46" s="226">
        <f t="shared" si="3"/>
        <v>0.002285631573330279</v>
      </c>
      <c r="E46" s="227">
        <f t="shared" si="4"/>
        <v>0.9977143684266698</v>
      </c>
      <c r="F46" s="242">
        <f t="shared" si="5"/>
        <v>0.02544182301775946</v>
      </c>
      <c r="G46" s="243">
        <f t="shared" si="8"/>
        <v>25.44182301775946</v>
      </c>
    </row>
    <row r="47" spans="1:7" ht="12.75">
      <c r="A47">
        <v>7.6</v>
      </c>
      <c r="B47">
        <f t="shared" si="6"/>
        <v>2.511886431509575E-08</v>
      </c>
      <c r="C47">
        <f t="shared" si="7"/>
        <v>-3.729883062384023E-07</v>
      </c>
      <c r="D47" s="226">
        <f t="shared" si="3"/>
        <v>0.001443353490207934</v>
      </c>
      <c r="E47" s="227">
        <f t="shared" si="4"/>
        <v>0.998556646509792</v>
      </c>
      <c r="F47" s="242">
        <f t="shared" si="5"/>
        <v>0.025463382708516134</v>
      </c>
      <c r="G47" s="243">
        <f t="shared" si="8"/>
        <v>25.463382708516136</v>
      </c>
    </row>
    <row r="48" spans="1:7" ht="12.75">
      <c r="A48">
        <v>7.8</v>
      </c>
      <c r="B48">
        <f t="shared" si="6"/>
        <v>1.5848931924611133E-08</v>
      </c>
      <c r="C48">
        <f t="shared" si="7"/>
        <v>-6.151084125555821E-07</v>
      </c>
      <c r="D48" s="226">
        <f t="shared" si="3"/>
        <v>0.000911179833471182</v>
      </c>
      <c r="E48" s="227">
        <f t="shared" si="4"/>
        <v>0.9990888201665289</v>
      </c>
      <c r="F48" s="242">
        <f t="shared" si="5"/>
        <v>0.0254770754029837</v>
      </c>
      <c r="G48" s="243">
        <f t="shared" si="8"/>
        <v>25.4770754029837</v>
      </c>
    </row>
    <row r="49" spans="1:7" ht="12.75">
      <c r="A49">
        <v>8</v>
      </c>
      <c r="B49">
        <f t="shared" si="6"/>
        <v>1E-08</v>
      </c>
      <c r="C49">
        <f t="shared" si="7"/>
        <v>-9.9E-07</v>
      </c>
      <c r="D49" s="226">
        <f t="shared" si="3"/>
        <v>0.0005751089966521617</v>
      </c>
      <c r="E49" s="227">
        <f t="shared" si="4"/>
        <v>0.9994248910033477</v>
      </c>
      <c r="F49" s="242">
        <f t="shared" si="5"/>
        <v>0.025485834530347223</v>
      </c>
      <c r="G49" s="243">
        <f t="shared" si="8"/>
        <v>25.485834530347223</v>
      </c>
    </row>
    <row r="50" spans="1:7" ht="12.75">
      <c r="A50">
        <v>8.2</v>
      </c>
      <c r="B50">
        <f t="shared" si="6"/>
        <v>6.309573444801933E-09</v>
      </c>
      <c r="C50">
        <f t="shared" si="7"/>
        <v>-1.5785836190163115E-06</v>
      </c>
      <c r="D50" s="226">
        <f t="shared" si="3"/>
        <v>0.00036294627694188344</v>
      </c>
      <c r="E50" s="227">
        <f t="shared" si="4"/>
        <v>0.999637053723058</v>
      </c>
      <c r="F50" s="242">
        <f t="shared" si="5"/>
        <v>0.025491541921147737</v>
      </c>
      <c r="G50" s="243">
        <f t="shared" si="8"/>
        <v>25.49154192114774</v>
      </c>
    </row>
    <row r="51" spans="1:7" ht="12.75">
      <c r="A51">
        <v>8.4</v>
      </c>
      <c r="B51">
        <f t="shared" si="6"/>
        <v>3.9810717055349665E-09</v>
      </c>
      <c r="C51">
        <f t="shared" si="7"/>
        <v>-2.507905359804049E-06</v>
      </c>
      <c r="D51" s="226">
        <f t="shared" si="3"/>
        <v>0.0002290342965506429</v>
      </c>
      <c r="E51" s="227">
        <f t="shared" si="4"/>
        <v>0.9997709657034495</v>
      </c>
      <c r="F51" s="242">
        <f t="shared" si="5"/>
        <v>0.025495426002933145</v>
      </c>
      <c r="G51" s="243">
        <f t="shared" si="8"/>
        <v>25.495426002933144</v>
      </c>
    </row>
    <row r="52" spans="1:7" ht="12.75">
      <c r="A52">
        <v>8.6</v>
      </c>
      <c r="B52">
        <f t="shared" si="6"/>
        <v>2.511886431509581E-09</v>
      </c>
      <c r="C52">
        <f t="shared" si="7"/>
        <v>-3.978559819103461E-06</v>
      </c>
      <c r="D52" s="226">
        <f t="shared" si="3"/>
        <v>0.00014452308713279964</v>
      </c>
      <c r="E52" s="227">
        <f t="shared" si="4"/>
        <v>0.9998554769128672</v>
      </c>
      <c r="F52" s="242">
        <f t="shared" si="5"/>
        <v>0.025498323767296844</v>
      </c>
      <c r="G52" s="243">
        <f t="shared" si="8"/>
        <v>25.498323767296846</v>
      </c>
    </row>
    <row r="53" spans="1:7" ht="12.75">
      <c r="A53">
        <v>8.8</v>
      </c>
      <c r="B53">
        <f t="shared" si="6"/>
        <v>1.584893192461106E-09</v>
      </c>
      <c r="C53">
        <f t="shared" si="7"/>
        <v>-6.307988551609501E-06</v>
      </c>
      <c r="D53" s="226">
        <f t="shared" si="3"/>
        <v>9.119276705638797E-05</v>
      </c>
      <c r="E53" s="227">
        <f t="shared" si="4"/>
        <v>0.9999088072329436</v>
      </c>
      <c r="F53" s="242">
        <f t="shared" si="5"/>
        <v>0.025500860172918235</v>
      </c>
      <c r="G53" s="243">
        <f t="shared" si="8"/>
        <v>25.500860172918234</v>
      </c>
    </row>
    <row r="54" spans="1:7" ht="12.75">
      <c r="A54">
        <v>9</v>
      </c>
      <c r="B54">
        <f t="shared" si="6"/>
        <v>1E-09</v>
      </c>
      <c r="C54">
        <f t="shared" si="7"/>
        <v>-9.998999999999999E-06</v>
      </c>
      <c r="D54" s="226">
        <f t="shared" si="3"/>
        <v>5.7540682613036017E-05</v>
      </c>
      <c r="E54" s="227">
        <f t="shared" si="4"/>
        <v>0.999942459317387</v>
      </c>
      <c r="F54" s="242">
        <f t="shared" si="5"/>
        <v>0.02550358256581412</v>
      </c>
      <c r="G54" s="243">
        <f t="shared" si="8"/>
        <v>25.50358256581412</v>
      </c>
    </row>
    <row r="55" spans="1:7" ht="12.75">
      <c r="A55">
        <v>9.2</v>
      </c>
      <c r="B55">
        <f t="shared" si="6"/>
        <v>6.309573444801927E-10</v>
      </c>
      <c r="C55">
        <f t="shared" si="7"/>
        <v>-1.5848300967266667E-05</v>
      </c>
      <c r="D55" s="226">
        <f t="shared" si="3"/>
        <v>3.630648726813284E-05</v>
      </c>
      <c r="E55" s="227">
        <f t="shared" si="4"/>
        <v>0.9999636935127318</v>
      </c>
      <c r="F55" s="242">
        <f t="shared" si="5"/>
        <v>0.02550707869841656</v>
      </c>
      <c r="G55" s="243">
        <f t="shared" si="8"/>
        <v>25.50707869841656</v>
      </c>
    </row>
    <row r="56" spans="1:7" ht="12.75">
      <c r="A56">
        <v>9.4</v>
      </c>
      <c r="B56">
        <f t="shared" si="6"/>
        <v>3.981071705534962E-10</v>
      </c>
      <c r="C56">
        <f t="shared" si="7"/>
        <v>-2.511846620792531E-05</v>
      </c>
      <c r="D56" s="226">
        <f t="shared" si="3"/>
        <v>2.2908151732239804E-05</v>
      </c>
      <c r="E56" s="227">
        <f t="shared" si="4"/>
        <v>0.9999770918482677</v>
      </c>
      <c r="F56" s="242">
        <f t="shared" si="5"/>
        <v>0.025512103707831586</v>
      </c>
      <c r="G56" s="243">
        <f t="shared" si="8"/>
        <v>25.512103707831585</v>
      </c>
    </row>
    <row r="57" spans="1:7" ht="12.75">
      <c r="A57">
        <v>9.6</v>
      </c>
      <c r="B57">
        <f t="shared" si="6"/>
        <v>2.5118864315095784E-10</v>
      </c>
      <c r="C57">
        <f t="shared" si="7"/>
        <v>-3.981046586670661E-05</v>
      </c>
      <c r="D57" s="226">
        <f t="shared" si="3"/>
        <v>1.4454188780866096E-05</v>
      </c>
      <c r="E57" s="227">
        <f t="shared" si="4"/>
        <v>0.9999855458112191</v>
      </c>
      <c r="F57" s="242">
        <f t="shared" si="5"/>
        <v>0.02551974356345336</v>
      </c>
      <c r="G57" s="243">
        <f t="shared" si="8"/>
        <v>25.51974356345336</v>
      </c>
    </row>
    <row r="58" spans="1:7" ht="12.75">
      <c r="A58">
        <v>9.8</v>
      </c>
      <c r="B58">
        <f t="shared" si="6"/>
        <v>1.5848931924611098E-10</v>
      </c>
      <c r="C58">
        <f t="shared" si="7"/>
        <v>-6.309557595870023E-05</v>
      </c>
      <c r="D58" s="226">
        <f t="shared" si="3"/>
        <v>9.120025217940543E-06</v>
      </c>
      <c r="E58" s="227">
        <f t="shared" si="4"/>
        <v>0.999990879974782</v>
      </c>
      <c r="F58" s="242">
        <f t="shared" si="5"/>
        <v>0.025531650675392016</v>
      </c>
      <c r="G58" s="243">
        <f t="shared" si="8"/>
        <v>25.531650675392015</v>
      </c>
    </row>
    <row r="59" spans="1:7" ht="12.75">
      <c r="A59">
        <v>10</v>
      </c>
      <c r="B59">
        <f t="shared" si="6"/>
        <v>1E-10</v>
      </c>
      <c r="C59">
        <f t="shared" si="7"/>
        <v>-9.99999E-05</v>
      </c>
      <c r="D59" s="226">
        <f t="shared" si="3"/>
        <v>5.75436626044997E-06</v>
      </c>
      <c r="E59" s="227">
        <f t="shared" si="4"/>
        <v>0.9999942456337395</v>
      </c>
      <c r="F59" s="242">
        <f t="shared" si="5"/>
        <v>0.025550403616726676</v>
      </c>
      <c r="G59" s="243">
        <f t="shared" si="8"/>
        <v>25.550403616726676</v>
      </c>
    </row>
    <row r="60" spans="1:7" ht="12.75">
      <c r="A60">
        <v>10.2</v>
      </c>
      <c r="B60">
        <f t="shared" si="6"/>
        <v>6.309573444801919E-11</v>
      </c>
      <c r="C60">
        <f t="shared" si="7"/>
        <v>-0.00015848925615037724</v>
      </c>
      <c r="D60" s="226">
        <f t="shared" si="3"/>
        <v>3.6307673651814854E-06</v>
      </c>
      <c r="E60" s="227">
        <f t="shared" si="4"/>
        <v>0.9999963692326348</v>
      </c>
      <c r="F60" s="242">
        <f t="shared" si="5"/>
        <v>0.025580071394345413</v>
      </c>
      <c r="G60" s="243">
        <f t="shared" si="8"/>
        <v>25.580071394345413</v>
      </c>
    </row>
    <row r="61" spans="1:7" ht="12.75">
      <c r="A61">
        <v>10.4</v>
      </c>
      <c r="B61">
        <f t="shared" si="6"/>
        <v>3.981071705534958E-11</v>
      </c>
      <c r="C61">
        <f t="shared" si="7"/>
        <v>-0.00025118860334024187</v>
      </c>
      <c r="D61" s="226">
        <f t="shared" si="3"/>
        <v>2.2908624047051862E-06</v>
      </c>
      <c r="E61" s="227">
        <f t="shared" si="4"/>
        <v>0.9999977091375952</v>
      </c>
      <c r="F61" s="242">
        <f t="shared" si="5"/>
        <v>0.025627111116333305</v>
      </c>
      <c r="G61" s="243">
        <f t="shared" si="8"/>
        <v>25.627111116333307</v>
      </c>
    </row>
    <row r="62" spans="1:7" ht="12.75">
      <c r="A62">
        <v>10.6</v>
      </c>
      <c r="B62">
        <f t="shared" si="6"/>
        <v>2.511886431509576E-11</v>
      </c>
      <c r="C62">
        <f t="shared" si="7"/>
        <v>-0.00039810714543463366</v>
      </c>
      <c r="D62" s="226">
        <f t="shared" si="3"/>
        <v>1.445437681452815E-06</v>
      </c>
      <c r="E62" s="227">
        <f t="shared" si="4"/>
        <v>0.9999985545623186</v>
      </c>
      <c r="F62" s="242">
        <f t="shared" si="5"/>
        <v>0.025701810672491048</v>
      </c>
      <c r="G62" s="243">
        <f t="shared" si="8"/>
        <v>25.701810672491046</v>
      </c>
    </row>
    <row r="63" spans="1:7" ht="12.75">
      <c r="A63">
        <v>10.8</v>
      </c>
      <c r="B63">
        <f t="shared" si="6"/>
        <v>1.5848931924611082E-11</v>
      </c>
      <c r="C63">
        <f t="shared" si="7"/>
        <v>-0.0006309573286312634</v>
      </c>
      <c r="D63" s="226">
        <f t="shared" si="3"/>
        <v>9.120100075928947E-07</v>
      </c>
      <c r="E63" s="227">
        <f t="shared" si="4"/>
        <v>0.9999990879899924</v>
      </c>
      <c r="F63" s="242">
        <f t="shared" si="5"/>
        <v>0.02582063325371594</v>
      </c>
      <c r="G63" s="243">
        <f t="shared" si="8"/>
        <v>25.82063325371594</v>
      </c>
    </row>
    <row r="64" spans="1:7" ht="12.75">
      <c r="A64">
        <v>11</v>
      </c>
      <c r="B64">
        <f t="shared" si="6"/>
        <v>1E-11</v>
      </c>
      <c r="C64">
        <f t="shared" si="7"/>
        <v>-0.00099999999</v>
      </c>
      <c r="D64" s="226">
        <f t="shared" si="3"/>
        <v>5.754396062062263E-07</v>
      </c>
      <c r="E64" s="227">
        <f t="shared" si="4"/>
        <v>0.9999994245603937</v>
      </c>
      <c r="F64" s="242">
        <f t="shared" si="5"/>
        <v>0.026010086183019223</v>
      </c>
      <c r="G64" s="243">
        <f t="shared" si="8"/>
        <v>26.010086183019222</v>
      </c>
    </row>
    <row r="65" spans="1:7" ht="12.75">
      <c r="A65">
        <v>11.2</v>
      </c>
      <c r="B65">
        <f t="shared" si="6"/>
        <v>6.3095734448019345E-12</v>
      </c>
      <c r="C65">
        <f t="shared" si="7"/>
        <v>-0.0015848931861515395</v>
      </c>
      <c r="D65" s="226">
        <f t="shared" si="3"/>
        <v>3.630779229444757E-07</v>
      </c>
      <c r="E65" s="227">
        <f t="shared" si="4"/>
        <v>0.999999636922077</v>
      </c>
      <c r="F65" s="242">
        <f t="shared" si="5"/>
        <v>0.026313250959563935</v>
      </c>
      <c r="G65" s="243">
        <f t="shared" si="8"/>
        <v>26.313250959563934</v>
      </c>
    </row>
    <row r="66" spans="1:7" ht="12.75">
      <c r="A66">
        <v>11.4</v>
      </c>
      <c r="B66">
        <f t="shared" si="6"/>
        <v>3.981071705534953E-12</v>
      </c>
      <c r="C66">
        <f t="shared" si="7"/>
        <v>-0.0025118864275285205</v>
      </c>
      <c r="D66" s="226">
        <f t="shared" si="3"/>
        <v>2.2908671279604236E-07</v>
      </c>
      <c r="E66" s="227">
        <f t="shared" si="4"/>
        <v>0.9999997709132873</v>
      </c>
      <c r="F66" s="242">
        <f t="shared" si="5"/>
        <v>0.026801180992950223</v>
      </c>
      <c r="G66" s="243">
        <f t="shared" si="8"/>
        <v>26.801180992950222</v>
      </c>
    </row>
    <row r="67" spans="1:7" ht="12.75">
      <c r="A67">
        <v>11.6</v>
      </c>
      <c r="B67">
        <f t="shared" si="6"/>
        <v>2.5118864315095726E-12</v>
      </c>
      <c r="C67">
        <f t="shared" si="7"/>
        <v>-0.003981071703023098</v>
      </c>
      <c r="D67" s="226">
        <f t="shared" si="3"/>
        <v>1.4454395618163415E-07</v>
      </c>
      <c r="E67" s="227">
        <f t="shared" si="4"/>
        <v>0.9999998554560439</v>
      </c>
      <c r="F67" s="242">
        <f t="shared" si="5"/>
        <v>0.027593792921680713</v>
      </c>
      <c r="G67" s="243">
        <f t="shared" si="8"/>
        <v>27.593792921680713</v>
      </c>
    </row>
    <row r="68" spans="1:7" ht="12.75">
      <c r="A68">
        <v>11.8</v>
      </c>
      <c r="B68">
        <f t="shared" si="6"/>
        <v>1.5848931924611065E-12</v>
      </c>
      <c r="C68">
        <f t="shared" si="7"/>
        <v>-0.006309573443217067</v>
      </c>
      <c r="D68" s="226">
        <f t="shared" si="3"/>
        <v>9.120107561795367E-08</v>
      </c>
      <c r="E68" s="227">
        <f t="shared" si="4"/>
        <v>0.9999999087989243</v>
      </c>
      <c r="F68" s="242">
        <f t="shared" si="5"/>
        <v>0.02890091552605543</v>
      </c>
      <c r="G68" s="243">
        <f t="shared" si="8"/>
        <v>28.90091552605543</v>
      </c>
    </row>
    <row r="69" spans="1:7" ht="12.75">
      <c r="A69">
        <v>12</v>
      </c>
      <c r="B69">
        <f t="shared" si="6"/>
        <v>1E-12</v>
      </c>
      <c r="C69">
        <f t="shared" si="7"/>
        <v>-0.009999999999</v>
      </c>
      <c r="D69" s="226">
        <f t="shared" si="3"/>
        <v>5.754399042240471E-08</v>
      </c>
      <c r="E69" s="227">
        <f t="shared" si="4"/>
        <v>0.9999999424560096</v>
      </c>
      <c r="F69" s="242">
        <f t="shared" si="5"/>
        <v>0.031111109480074593</v>
      </c>
      <c r="G69" s="243">
        <f t="shared" si="8"/>
        <v>31.111109480074592</v>
      </c>
    </row>
    <row r="70" spans="1:7" ht="12.75">
      <c r="A70">
        <v>12.2</v>
      </c>
      <c r="B70">
        <f t="shared" si="6"/>
        <v>6.309573444801928E-13</v>
      </c>
      <c r="C70">
        <f t="shared" si="7"/>
        <v>-0.015848931923980188</v>
      </c>
      <c r="D70" s="226">
        <f t="shared" si="3"/>
        <v>3.630780415875344E-08</v>
      </c>
      <c r="E70" s="227">
        <f t="shared" si="4"/>
        <v>0.9999999636921959</v>
      </c>
      <c r="F70" s="242">
        <f t="shared" si="5"/>
        <v>0.03501112074837915</v>
      </c>
      <c r="G70" s="243">
        <f t="shared" si="8"/>
        <v>35.01112074837915</v>
      </c>
    </row>
    <row r="71" spans="1:7" ht="12.75">
      <c r="A71">
        <v>12.4</v>
      </c>
      <c r="B71">
        <f t="shared" si="6"/>
        <v>3.981071705534963E-13</v>
      </c>
      <c r="C71">
        <f t="shared" si="7"/>
        <v>-0.02511886431469775</v>
      </c>
      <c r="D71" s="226">
        <f t="shared" si="3"/>
        <v>2.2908676002870243E-08</v>
      </c>
      <c r="E71" s="227">
        <f t="shared" si="4"/>
        <v>0.999999977091324</v>
      </c>
      <c r="F71" s="242">
        <f t="shared" si="5"/>
        <v>0.0424402156880494</v>
      </c>
      <c r="G71" s="243">
        <f t="shared" si="8"/>
        <v>42.4402156880494</v>
      </c>
    </row>
    <row r="72" spans="1:7" ht="12.75">
      <c r="A72">
        <v>12.6</v>
      </c>
      <c r="B72">
        <f t="shared" si="6"/>
        <v>2.511886431509579E-13</v>
      </c>
      <c r="C72">
        <f t="shared" si="7"/>
        <v>-0.03981071705509855</v>
      </c>
      <c r="D72" s="226">
        <f t="shared" si="3"/>
        <v>1.4454397498529668E-08</v>
      </c>
      <c r="E72" s="227">
        <f t="shared" si="4"/>
        <v>0.9999999855456024</v>
      </c>
      <c r="F72" s="242">
        <f t="shared" si="5"/>
        <v>0.058901979157388595</v>
      </c>
      <c r="G72" s="243">
        <f t="shared" si="8"/>
        <v>58.901979157388595</v>
      </c>
    </row>
    <row r="73" spans="1:7" ht="12.75">
      <c r="A73">
        <v>12.8</v>
      </c>
      <c r="B73">
        <f aca="true" t="shared" si="9" ref="B73:B79">10^-A73</f>
        <v>1.5848931924611046E-13</v>
      </c>
      <c r="C73">
        <f aca="true" t="shared" si="10" ref="C73:C79">B73-$B$2/B73</f>
        <v>-0.0630957344478612</v>
      </c>
      <c r="D73" s="226">
        <f t="shared" si="3"/>
        <v>9.120108310382675E-09</v>
      </c>
      <c r="E73" s="227">
        <f t="shared" si="4"/>
        <v>0.9999999908798916</v>
      </c>
      <c r="F73" s="242">
        <f t="shared" si="5"/>
        <v>0.11184054949173884</v>
      </c>
      <c r="G73" s="243">
        <f aca="true" t="shared" si="11" ref="G73:G79">F73*1000</f>
        <v>111.84054949173884</v>
      </c>
    </row>
    <row r="74" spans="1:7" ht="12.75">
      <c r="A74">
        <v>13</v>
      </c>
      <c r="B74">
        <f t="shared" si="9"/>
        <v>1E-13</v>
      </c>
      <c r="C74">
        <f t="shared" si="10"/>
        <v>-0.09999999999989999</v>
      </c>
      <c r="D74" s="226">
        <f aca="true" t="shared" si="12" ref="D74:D79">$B74/($B74+$B$4)</f>
        <v>5.754399340258461E-09</v>
      </c>
      <c r="E74" s="227">
        <f aca="true" t="shared" si="13" ref="E74:E79">$B$4/($B74+$B$4)</f>
        <v>0.9999999942456006</v>
      </c>
      <c r="F74" s="242">
        <f aca="true" t="shared" si="14" ref="F74:F79">$G$4*($G$3*E74-C74)/($I$3+C74)</f>
        <v>50491306900.79132</v>
      </c>
      <c r="G74" s="243">
        <f t="shared" si="11"/>
        <v>50491306900791.32</v>
      </c>
    </row>
    <row r="75" spans="1:7" ht="12.75">
      <c r="A75">
        <v>13.2</v>
      </c>
      <c r="B75">
        <f t="shared" si="9"/>
        <v>6.309573444801921E-14</v>
      </c>
      <c r="C75">
        <f t="shared" si="10"/>
        <v>-0.15848931924604853</v>
      </c>
      <c r="D75" s="226">
        <f t="shared" si="12"/>
        <v>3.630780534518442E-09</v>
      </c>
      <c r="E75" s="227">
        <f t="shared" si="13"/>
        <v>0.9999999963692194</v>
      </c>
      <c r="F75" s="242">
        <f t="shared" si="14"/>
        <v>-0.1113405499643028</v>
      </c>
      <c r="G75" s="243">
        <f t="shared" si="11"/>
        <v>-111.3405499643028</v>
      </c>
    </row>
    <row r="76" spans="1:7" ht="12.75">
      <c r="A76">
        <v>13.4</v>
      </c>
      <c r="B76">
        <f t="shared" si="9"/>
        <v>3.981071705534959E-14</v>
      </c>
      <c r="C76">
        <f t="shared" si="10"/>
        <v>-0.25118864315091904</v>
      </c>
      <c r="D76" s="226">
        <f t="shared" si="12"/>
        <v>2.2908676475196924E-09</v>
      </c>
      <c r="E76" s="227">
        <f t="shared" si="13"/>
        <v>0.9999999977091323</v>
      </c>
      <c r="F76" s="242">
        <f t="shared" si="14"/>
        <v>-0.058401979731488786</v>
      </c>
      <c r="G76" s="243">
        <f t="shared" si="11"/>
        <v>-58.40197973148879</v>
      </c>
    </row>
    <row r="77" spans="1:7" ht="12.75">
      <c r="A77">
        <v>13.6</v>
      </c>
      <c r="B77">
        <f t="shared" si="9"/>
        <v>2.511886431509576E-14</v>
      </c>
      <c r="C77">
        <f t="shared" si="10"/>
        <v>-0.3981071705534728</v>
      </c>
      <c r="D77" s="226">
        <f t="shared" si="12"/>
        <v>1.4454397686566299E-09</v>
      </c>
      <c r="E77" s="227">
        <f t="shared" si="13"/>
        <v>0.9999999985545602</v>
      </c>
      <c r="F77" s="242">
        <f t="shared" si="14"/>
        <v>-0.04194021645617641</v>
      </c>
      <c r="G77" s="243">
        <f t="shared" si="11"/>
        <v>-41.94021645617641</v>
      </c>
    </row>
    <row r="78" spans="1:7" ht="12.75">
      <c r="A78">
        <v>13.8</v>
      </c>
      <c r="B78">
        <f t="shared" si="9"/>
        <v>1.5848931924611084E-14</v>
      </c>
      <c r="C78">
        <f t="shared" si="10"/>
        <v>-0.6309573444801794</v>
      </c>
      <c r="D78" s="226">
        <f t="shared" si="12"/>
        <v>9.120108385241437E-10</v>
      </c>
      <c r="E78" s="227">
        <f t="shared" si="13"/>
        <v>0.9999999990879892</v>
      </c>
      <c r="F78" s="242">
        <f t="shared" si="14"/>
        <v>-0.03451112184467182</v>
      </c>
      <c r="G78" s="243">
        <f t="shared" si="11"/>
        <v>-34.51112184467182</v>
      </c>
    </row>
    <row r="79" spans="1:7" ht="12.75">
      <c r="A79">
        <v>14</v>
      </c>
      <c r="B79">
        <f t="shared" si="9"/>
        <v>1E-14</v>
      </c>
      <c r="C79">
        <f t="shared" si="10"/>
        <v>-0.99999999999999</v>
      </c>
      <c r="D79" s="226">
        <f t="shared" si="12"/>
        <v>5.754399370060262E-10</v>
      </c>
      <c r="E79" s="227">
        <f t="shared" si="13"/>
        <v>0.9999999994245601</v>
      </c>
      <c r="F79" s="242">
        <f t="shared" si="14"/>
        <v>-0.030611111109480758</v>
      </c>
      <c r="G79" s="244">
        <f t="shared" si="11"/>
        <v>-30.611111109480756</v>
      </c>
    </row>
  </sheetData>
  <mergeCells count="1">
    <mergeCell ref="D6:E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F6" sqref="F6"/>
    </sheetView>
  </sheetViews>
  <sheetFormatPr defaultColWidth="9.140625" defaultRowHeight="12.75"/>
  <cols>
    <col min="4" max="4" width="10.7109375" style="0" customWidth="1"/>
    <col min="5" max="5" width="10.28125" style="0" customWidth="1"/>
  </cols>
  <sheetData>
    <row r="1" ht="12.75">
      <c r="A1" s="1" t="s">
        <v>98</v>
      </c>
    </row>
    <row r="3" spans="1:2" ht="15.75">
      <c r="A3" s="209" t="s">
        <v>3</v>
      </c>
      <c r="B3">
        <f>10^-14</f>
        <v>1E-14</v>
      </c>
    </row>
    <row r="4" spans="1:4" ht="15.75">
      <c r="A4" s="209" t="s">
        <v>86</v>
      </c>
      <c r="B4" s="239">
        <v>0.102</v>
      </c>
      <c r="C4" s="209" t="s">
        <v>88</v>
      </c>
      <c r="D4" s="239">
        <v>0.1</v>
      </c>
    </row>
    <row r="5" spans="1:2" ht="15.75">
      <c r="A5" s="209" t="s">
        <v>87</v>
      </c>
      <c r="B5" s="239">
        <v>0.025</v>
      </c>
    </row>
    <row r="6" ht="39" customHeight="1"/>
    <row r="8" spans="1:5" ht="15">
      <c r="A8" s="245" t="s">
        <v>2</v>
      </c>
      <c r="B8" s="245" t="s">
        <v>65</v>
      </c>
      <c r="C8" s="245" t="s">
        <v>64</v>
      </c>
      <c r="D8" s="234" t="s">
        <v>96</v>
      </c>
      <c r="E8" s="241" t="s">
        <v>79</v>
      </c>
    </row>
    <row r="9" spans="1:5" ht="12.75">
      <c r="A9">
        <v>0</v>
      </c>
      <c r="B9">
        <f aca="true" t="shared" si="0" ref="B9:B40">10^-A9</f>
        <v>1</v>
      </c>
      <c r="C9">
        <f aca="true" t="shared" si="1" ref="C9:C40">B9-$B$3/B9</f>
        <v>0.99999999999999</v>
      </c>
      <c r="D9" s="242">
        <f aca="true" t="shared" si="2" ref="D9:D40">$B$5*($B$4-C9)/($D$4+C9)</f>
        <v>-0.020409090909090866</v>
      </c>
      <c r="E9" s="243">
        <f aca="true" t="shared" si="3" ref="E9:E40">D9*1000</f>
        <v>-20.409090909090867</v>
      </c>
    </row>
    <row r="10" spans="1:5" ht="12.75">
      <c r="A10">
        <v>0.2</v>
      </c>
      <c r="B10">
        <f t="shared" si="0"/>
        <v>0.6309573444801932</v>
      </c>
      <c r="C10">
        <f t="shared" si="1"/>
        <v>0.6309573444801774</v>
      </c>
      <c r="D10" s="242">
        <f t="shared" si="2"/>
        <v>-0.018091252125537746</v>
      </c>
      <c r="E10" s="243">
        <f t="shared" si="3"/>
        <v>-18.091252125537746</v>
      </c>
    </row>
    <row r="11" spans="1:5" ht="12.75">
      <c r="A11">
        <v>0.4</v>
      </c>
      <c r="B11">
        <f t="shared" si="0"/>
        <v>0.3981071705534972</v>
      </c>
      <c r="C11">
        <f t="shared" si="1"/>
        <v>0.39810717055347206</v>
      </c>
      <c r="D11" s="242">
        <f t="shared" si="2"/>
        <v>-0.014861619549887848</v>
      </c>
      <c r="E11" s="243">
        <f t="shared" si="3"/>
        <v>-14.861619549887848</v>
      </c>
    </row>
    <row r="12" spans="1:5" ht="12.75">
      <c r="A12">
        <v>0.6</v>
      </c>
      <c r="B12">
        <f t="shared" si="0"/>
        <v>0.251188643150958</v>
      </c>
      <c r="C12">
        <f t="shared" si="1"/>
        <v>0.2511886431509182</v>
      </c>
      <c r="D12" s="242">
        <f t="shared" si="2"/>
        <v>-0.0106202639279829</v>
      </c>
      <c r="E12" s="243">
        <f t="shared" si="3"/>
        <v>-10.6202639279829</v>
      </c>
    </row>
    <row r="13" spans="1:5" ht="12.75">
      <c r="A13">
        <v>0.8</v>
      </c>
      <c r="B13">
        <f t="shared" si="0"/>
        <v>0.15848931924611132</v>
      </c>
      <c r="C13">
        <f t="shared" si="1"/>
        <v>0.15848931924604823</v>
      </c>
      <c r="D13" s="242">
        <f t="shared" si="2"/>
        <v>-0.005463409417728954</v>
      </c>
      <c r="E13" s="243">
        <f t="shared" si="3"/>
        <v>-5.463409417728954</v>
      </c>
    </row>
    <row r="14" spans="1:5" ht="12.75">
      <c r="A14">
        <v>1</v>
      </c>
      <c r="B14">
        <f t="shared" si="0"/>
        <v>0.1</v>
      </c>
      <c r="C14">
        <f t="shared" si="1"/>
        <v>0.0999999999999</v>
      </c>
      <c r="D14" s="242">
        <f t="shared" si="2"/>
        <v>0.0002500000000126239</v>
      </c>
      <c r="E14" s="243">
        <f t="shared" si="3"/>
        <v>0.2500000000126239</v>
      </c>
    </row>
    <row r="15" spans="1:5" ht="12.75">
      <c r="A15">
        <v>1.2</v>
      </c>
      <c r="B15">
        <f t="shared" si="0"/>
        <v>0.06309573444801932</v>
      </c>
      <c r="C15">
        <f t="shared" si="1"/>
        <v>0.06309573444786083</v>
      </c>
      <c r="D15" s="242">
        <f t="shared" si="2"/>
        <v>0.005963409417763812</v>
      </c>
      <c r="E15" s="243">
        <f t="shared" si="3"/>
        <v>5.9634094177638115</v>
      </c>
    </row>
    <row r="16" spans="1:5" ht="12.75">
      <c r="A16">
        <v>1.4</v>
      </c>
      <c r="B16">
        <f t="shared" si="0"/>
        <v>0.03981071705534973</v>
      </c>
      <c r="C16">
        <f t="shared" si="1"/>
        <v>0.03981071705509854</v>
      </c>
      <c r="D16" s="242">
        <f t="shared" si="2"/>
        <v>0.011120263928049424</v>
      </c>
      <c r="E16" s="243">
        <f t="shared" si="3"/>
        <v>11.120263928049424</v>
      </c>
    </row>
    <row r="17" spans="1:5" ht="12.75">
      <c r="A17">
        <v>1.6</v>
      </c>
      <c r="B17">
        <f t="shared" si="0"/>
        <v>0.02511886431509578</v>
      </c>
      <c r="C17">
        <f t="shared" si="1"/>
        <v>0.025118864314697672</v>
      </c>
      <c r="D17" s="242">
        <f t="shared" si="2"/>
        <v>0.01536161955001679</v>
      </c>
      <c r="E17" s="243">
        <f t="shared" si="3"/>
        <v>15.36161955001679</v>
      </c>
    </row>
    <row r="18" spans="1:5" ht="12.75">
      <c r="A18">
        <v>1.8</v>
      </c>
      <c r="B18">
        <f t="shared" si="0"/>
        <v>0.015848931924611124</v>
      </c>
      <c r="C18">
        <f t="shared" si="1"/>
        <v>0.015848931923980167</v>
      </c>
      <c r="D18" s="242">
        <f t="shared" si="2"/>
        <v>0.01859125212577531</v>
      </c>
      <c r="E18" s="243">
        <f t="shared" si="3"/>
        <v>18.59125212577531</v>
      </c>
    </row>
    <row r="19" spans="1:5" ht="12.75">
      <c r="A19">
        <v>2</v>
      </c>
      <c r="B19">
        <f t="shared" si="0"/>
        <v>0.01</v>
      </c>
      <c r="C19">
        <f t="shared" si="1"/>
        <v>0.009999999999</v>
      </c>
      <c r="D19" s="242">
        <f t="shared" si="2"/>
        <v>0.020909090909508262</v>
      </c>
      <c r="E19" s="243">
        <f t="shared" si="3"/>
        <v>20.90909090950826</v>
      </c>
    </row>
    <row r="20" spans="1:5" ht="12.75">
      <c r="A20">
        <v>2.2</v>
      </c>
      <c r="B20">
        <f t="shared" si="0"/>
        <v>0.006309573444801925</v>
      </c>
      <c r="C20">
        <f t="shared" si="1"/>
        <v>0.006309573443217032</v>
      </c>
      <c r="D20" s="242">
        <f t="shared" si="2"/>
        <v>0.022502777374018422</v>
      </c>
      <c r="E20" s="243">
        <f t="shared" si="3"/>
        <v>22.50277737401842</v>
      </c>
    </row>
    <row r="21" spans="1:5" ht="12.75">
      <c r="A21">
        <v>2.4</v>
      </c>
      <c r="B21">
        <f t="shared" si="0"/>
        <v>0.003981071705534972</v>
      </c>
      <c r="C21">
        <f t="shared" si="1"/>
        <v>0.003981071703023085</v>
      </c>
      <c r="D21" s="242">
        <f t="shared" si="2"/>
        <v>0.023566531555119365</v>
      </c>
      <c r="E21" s="243">
        <f t="shared" si="3"/>
        <v>23.566531555119365</v>
      </c>
    </row>
    <row r="22" spans="1:5" ht="12.75">
      <c r="A22">
        <v>2.6</v>
      </c>
      <c r="B22">
        <f t="shared" si="0"/>
        <v>0.0025118864315095777</v>
      </c>
      <c r="C22">
        <f t="shared" si="1"/>
        <v>0.002511886427528506</v>
      </c>
      <c r="D22" s="242">
        <f t="shared" si="2"/>
        <v>0.024262579940621157</v>
      </c>
      <c r="E22" s="243">
        <f t="shared" si="3"/>
        <v>24.26257994062116</v>
      </c>
    </row>
    <row r="23" spans="1:5" ht="12.75">
      <c r="A23">
        <v>2.8</v>
      </c>
      <c r="B23">
        <f t="shared" si="0"/>
        <v>0.0015848931924611134</v>
      </c>
      <c r="C23">
        <f t="shared" si="1"/>
        <v>0.00158489318615154</v>
      </c>
      <c r="D23" s="242">
        <f t="shared" si="2"/>
        <v>0.024712116059875288</v>
      </c>
      <c r="E23" s="243">
        <f t="shared" si="3"/>
        <v>24.71211605987529</v>
      </c>
    </row>
    <row r="24" spans="1:5" ht="12.75">
      <c r="A24">
        <v>3</v>
      </c>
      <c r="B24">
        <f t="shared" si="0"/>
        <v>0.001</v>
      </c>
      <c r="C24">
        <f t="shared" si="1"/>
        <v>0.00099999999</v>
      </c>
      <c r="D24" s="242">
        <f t="shared" si="2"/>
        <v>0.025000000004950493</v>
      </c>
      <c r="E24" s="243">
        <f t="shared" si="3"/>
        <v>25.000000004950493</v>
      </c>
    </row>
    <row r="25" spans="1:5" ht="12.75">
      <c r="A25">
        <v>3.2</v>
      </c>
      <c r="B25">
        <f t="shared" si="0"/>
        <v>0.0006309573444801924</v>
      </c>
      <c r="C25">
        <f t="shared" si="1"/>
        <v>0.0006309573286312605</v>
      </c>
      <c r="D25" s="242">
        <f t="shared" si="2"/>
        <v>0.025183364384661247</v>
      </c>
      <c r="E25" s="243">
        <f t="shared" si="3"/>
        <v>25.183364384661246</v>
      </c>
    </row>
    <row r="26" spans="1:5" ht="12.75">
      <c r="A26">
        <v>3.4</v>
      </c>
      <c r="B26">
        <f t="shared" si="0"/>
        <v>0.0003981071705534971</v>
      </c>
      <c r="C26">
        <f t="shared" si="1"/>
        <v>0.0003981071454346328</v>
      </c>
      <c r="D26" s="242">
        <f t="shared" si="2"/>
        <v>0.02529975308881744</v>
      </c>
      <c r="E26" s="243">
        <f t="shared" si="3"/>
        <v>25.29975308881744</v>
      </c>
    </row>
    <row r="27" spans="1:5" ht="12.75">
      <c r="A27">
        <v>3.6</v>
      </c>
      <c r="B27">
        <f t="shared" si="0"/>
        <v>0.00025118864315095774</v>
      </c>
      <c r="C27">
        <f t="shared" si="1"/>
        <v>0.0002511886033402407</v>
      </c>
      <c r="D27" s="242">
        <f t="shared" si="2"/>
        <v>0.025373467590305863</v>
      </c>
      <c r="E27" s="243">
        <f t="shared" si="3"/>
        <v>25.373467590305864</v>
      </c>
    </row>
    <row r="28" spans="1:5" ht="12.75">
      <c r="A28">
        <v>3.8</v>
      </c>
      <c r="B28">
        <f t="shared" si="0"/>
        <v>0.0001584893192461112</v>
      </c>
      <c r="C28">
        <f t="shared" si="1"/>
        <v>0.00015848925615037675</v>
      </c>
      <c r="D28" s="242">
        <f t="shared" si="2"/>
        <v>0.025420089575082096</v>
      </c>
      <c r="E28" s="243">
        <f t="shared" si="3"/>
        <v>25.420089575082095</v>
      </c>
    </row>
    <row r="29" spans="1:5" ht="12.75">
      <c r="A29">
        <v>4</v>
      </c>
      <c r="B29">
        <f t="shared" si="0"/>
        <v>0.0001</v>
      </c>
      <c r="C29">
        <f t="shared" si="1"/>
        <v>9.999990000000001E-05</v>
      </c>
      <c r="D29" s="242">
        <f t="shared" si="2"/>
        <v>0.0254495504999496</v>
      </c>
      <c r="E29" s="243">
        <f t="shared" si="3"/>
        <v>25.449550499949602</v>
      </c>
    </row>
    <row r="30" spans="1:5" ht="12.75">
      <c r="A30">
        <v>4.2</v>
      </c>
      <c r="B30">
        <f t="shared" si="0"/>
        <v>6.309573444801928E-05</v>
      </c>
      <c r="C30">
        <f t="shared" si="1"/>
        <v>6.309557595870004E-05</v>
      </c>
      <c r="D30" s="242">
        <f t="shared" si="2"/>
        <v>0.025468156825775037</v>
      </c>
      <c r="E30" s="243">
        <f t="shared" si="3"/>
        <v>25.468156825775036</v>
      </c>
    </row>
    <row r="31" spans="1:5" ht="12.75">
      <c r="A31">
        <v>4.4</v>
      </c>
      <c r="B31">
        <f t="shared" si="0"/>
        <v>3.9810717055349634E-05</v>
      </c>
      <c r="C31">
        <f t="shared" si="1"/>
        <v>3.9810465866706486E-05</v>
      </c>
      <c r="D31" s="242">
        <f t="shared" si="2"/>
        <v>0.025479903715161924</v>
      </c>
      <c r="E31" s="243">
        <f t="shared" si="3"/>
        <v>25.479903715161925</v>
      </c>
    </row>
    <row r="32" spans="1:5" ht="12.75">
      <c r="A32">
        <v>4.6</v>
      </c>
      <c r="B32">
        <f t="shared" si="0"/>
        <v>2.511886431509579E-05</v>
      </c>
      <c r="C32">
        <f t="shared" si="1"/>
        <v>2.5118466207925237E-05</v>
      </c>
      <c r="D32" s="242">
        <f t="shared" si="2"/>
        <v>0.025487318359998457</v>
      </c>
      <c r="E32" s="243">
        <f t="shared" si="3"/>
        <v>25.487318359998458</v>
      </c>
    </row>
    <row r="33" spans="1:5" ht="12.75">
      <c r="A33">
        <v>4.8</v>
      </c>
      <c r="B33">
        <f t="shared" si="0"/>
        <v>1.584893192461113E-05</v>
      </c>
      <c r="C33">
        <f t="shared" si="1"/>
        <v>1.584830096726665E-05</v>
      </c>
      <c r="D33" s="242">
        <f t="shared" si="2"/>
        <v>0.025491997876212195</v>
      </c>
      <c r="E33" s="243">
        <f t="shared" si="3"/>
        <v>25.491997876212196</v>
      </c>
    </row>
    <row r="34" spans="1:5" ht="12.75">
      <c r="A34">
        <v>5</v>
      </c>
      <c r="B34">
        <f t="shared" si="0"/>
        <v>1E-05</v>
      </c>
      <c r="C34">
        <f t="shared" si="1"/>
        <v>9.999E-06</v>
      </c>
      <c r="D34" s="242">
        <f t="shared" si="2"/>
        <v>0.025494951009848527</v>
      </c>
      <c r="E34" s="243">
        <f t="shared" si="3"/>
        <v>25.494951009848528</v>
      </c>
    </row>
    <row r="35" spans="1:5" ht="12.75">
      <c r="A35">
        <v>5.2</v>
      </c>
      <c r="B35">
        <f t="shared" si="0"/>
        <v>6.309573444801921E-06</v>
      </c>
      <c r="C35">
        <f t="shared" si="1"/>
        <v>6.30798855160946E-06</v>
      </c>
      <c r="D35" s="242">
        <f t="shared" si="2"/>
        <v>0.025496814666711894</v>
      </c>
      <c r="E35" s="243">
        <f t="shared" si="3"/>
        <v>25.496814666711895</v>
      </c>
    </row>
    <row r="36" spans="1:5" ht="12.75">
      <c r="A36">
        <v>5.4</v>
      </c>
      <c r="B36">
        <f t="shared" si="0"/>
        <v>3.981071705534966E-06</v>
      </c>
      <c r="C36">
        <f t="shared" si="1"/>
        <v>3.978559819103456E-06</v>
      </c>
      <c r="D36" s="242">
        <f t="shared" si="2"/>
        <v>0.025497990907224308</v>
      </c>
      <c r="E36" s="243">
        <f t="shared" si="3"/>
        <v>25.497990907224306</v>
      </c>
    </row>
    <row r="37" spans="1:5" ht="12.75">
      <c r="A37">
        <v>5.6</v>
      </c>
      <c r="B37">
        <f t="shared" si="0"/>
        <v>2.5118864315095806E-06</v>
      </c>
      <c r="C37">
        <f t="shared" si="1"/>
        <v>2.5079053598040454E-06</v>
      </c>
      <c r="D37" s="242">
        <f t="shared" si="2"/>
        <v>0.025498733539554928</v>
      </c>
      <c r="E37" s="243">
        <f t="shared" si="3"/>
        <v>25.498733539554927</v>
      </c>
    </row>
    <row r="38" spans="1:5" ht="12.75">
      <c r="A38">
        <v>5.8</v>
      </c>
      <c r="B38">
        <f t="shared" si="0"/>
        <v>1.5848931924611111E-06</v>
      </c>
      <c r="C38">
        <f t="shared" si="1"/>
        <v>1.5785836190163092E-06</v>
      </c>
      <c r="D38" s="242">
        <f t="shared" si="2"/>
        <v>0.02549920282785642</v>
      </c>
      <c r="E38" s="243">
        <f t="shared" si="3"/>
        <v>25.499202827856422</v>
      </c>
    </row>
    <row r="39" spans="1:5" ht="12.75">
      <c r="A39">
        <v>6</v>
      </c>
      <c r="B39">
        <f t="shared" si="0"/>
        <v>1E-06</v>
      </c>
      <c r="C39">
        <f t="shared" si="1"/>
        <v>9.9E-07</v>
      </c>
      <c r="D39" s="242">
        <f t="shared" si="2"/>
        <v>0.02549950005494945</v>
      </c>
      <c r="E39" s="243">
        <f t="shared" si="3"/>
        <v>25.49950005494945</v>
      </c>
    </row>
    <row r="40" spans="1:5" ht="12.75">
      <c r="A40">
        <v>6.2</v>
      </c>
      <c r="B40">
        <f t="shared" si="0"/>
        <v>6.309573444801925E-07</v>
      </c>
      <c r="C40">
        <f t="shared" si="1"/>
        <v>6.151084125555814E-07</v>
      </c>
      <c r="D40" s="242">
        <f t="shared" si="2"/>
        <v>0.02549968937216236</v>
      </c>
      <c r="E40" s="243">
        <f t="shared" si="3"/>
        <v>25.499689372162358</v>
      </c>
    </row>
    <row r="41" spans="1:5" ht="12.75">
      <c r="A41">
        <v>6.4</v>
      </c>
      <c r="B41">
        <f aca="true" t="shared" si="4" ref="B41:B72">10^-A41</f>
        <v>3.981071705534962E-07</v>
      </c>
      <c r="C41">
        <f aca="true" t="shared" si="5" ref="C41:C72">B41-$B$3/B41</f>
        <v>3.7298830623840034E-07</v>
      </c>
      <c r="D41" s="242">
        <f aca="true" t="shared" si="6" ref="D41:D72">$B$5*($B$4-C41)/($D$4+C41)</f>
        <v>0.025499811641607903</v>
      </c>
      <c r="E41" s="243">
        <f aca="true" t="shared" si="7" ref="E41:E72">D41*1000</f>
        <v>25.499811641607902</v>
      </c>
    </row>
    <row r="42" spans="1:5" ht="12.75">
      <c r="A42">
        <v>6.6</v>
      </c>
      <c r="B42">
        <f t="shared" si="4"/>
        <v>2.511886431509578E-07</v>
      </c>
      <c r="C42">
        <f t="shared" si="5"/>
        <v>2.1137792609560805E-07</v>
      </c>
      <c r="D42" s="242">
        <f t="shared" si="6"/>
        <v>0.02549989325437296</v>
      </c>
      <c r="E42" s="243">
        <f t="shared" si="7"/>
        <v>25.49989325437296</v>
      </c>
    </row>
    <row r="43" spans="1:5" ht="12.75">
      <c r="A43">
        <v>6.8</v>
      </c>
      <c r="B43">
        <f t="shared" si="4"/>
        <v>1.5848931924611122E-07</v>
      </c>
      <c r="C43">
        <f t="shared" si="5"/>
        <v>9.539358479809185E-08</v>
      </c>
      <c r="D43" s="242">
        <f t="shared" si="6"/>
        <v>0.02549995182628563</v>
      </c>
      <c r="E43" s="243">
        <f t="shared" si="7"/>
        <v>25.49995182628563</v>
      </c>
    </row>
    <row r="44" spans="1:5" ht="12.75">
      <c r="A44">
        <v>7</v>
      </c>
      <c r="B44">
        <f t="shared" si="4"/>
        <v>1E-07</v>
      </c>
      <c r="C44">
        <f t="shared" si="5"/>
        <v>0</v>
      </c>
      <c r="D44" s="242">
        <f t="shared" si="6"/>
        <v>0.025500000000000002</v>
      </c>
      <c r="E44" s="243">
        <f t="shared" si="7"/>
        <v>25.500000000000004</v>
      </c>
    </row>
    <row r="45" spans="1:5" ht="12.75">
      <c r="A45">
        <v>7.2</v>
      </c>
      <c r="B45">
        <f t="shared" si="4"/>
        <v>6.309573444801918E-08</v>
      </c>
      <c r="C45">
        <f t="shared" si="5"/>
        <v>-9.539358479809255E-08</v>
      </c>
      <c r="D45" s="242">
        <f t="shared" si="6"/>
        <v>0.025500048173806276</v>
      </c>
      <c r="E45" s="243">
        <f t="shared" si="7"/>
        <v>25.500048173806277</v>
      </c>
    </row>
    <row r="46" spans="1:5" ht="12.75">
      <c r="A46">
        <v>7.4</v>
      </c>
      <c r="B46">
        <f t="shared" si="4"/>
        <v>3.981071705534957E-08</v>
      </c>
      <c r="C46">
        <f t="shared" si="5"/>
        <v>-2.113779260956094E-07</v>
      </c>
      <c r="D46" s="242">
        <f t="shared" si="6"/>
        <v>0.025500106746078312</v>
      </c>
      <c r="E46" s="243">
        <f t="shared" si="7"/>
        <v>25.500106746078313</v>
      </c>
    </row>
    <row r="47" spans="1:5" ht="12.75">
      <c r="A47">
        <v>7.6</v>
      </c>
      <c r="B47">
        <f t="shared" si="4"/>
        <v>2.511886431509575E-08</v>
      </c>
      <c r="C47">
        <f t="shared" si="5"/>
        <v>-3.729883062384023E-07</v>
      </c>
      <c r="D47" s="242">
        <f t="shared" si="6"/>
        <v>0.02550018835979721</v>
      </c>
      <c r="E47" s="243">
        <f t="shared" si="7"/>
        <v>25.50018835979721</v>
      </c>
    </row>
    <row r="48" spans="1:5" ht="12.75">
      <c r="A48">
        <v>7.8</v>
      </c>
      <c r="B48">
        <f t="shared" si="4"/>
        <v>1.5848931924611133E-08</v>
      </c>
      <c r="C48">
        <f t="shared" si="5"/>
        <v>-6.151084125555821E-07</v>
      </c>
      <c r="D48" s="242">
        <f t="shared" si="6"/>
        <v>0.025500310631659057</v>
      </c>
      <c r="E48" s="243">
        <f t="shared" si="7"/>
        <v>25.500310631659058</v>
      </c>
    </row>
    <row r="49" spans="1:5" ht="12.75">
      <c r="A49">
        <v>8</v>
      </c>
      <c r="B49">
        <f t="shared" si="4"/>
        <v>1E-08</v>
      </c>
      <c r="C49">
        <f t="shared" si="5"/>
        <v>-9.9E-07</v>
      </c>
      <c r="D49" s="242">
        <f t="shared" si="6"/>
        <v>0.025500499954949556</v>
      </c>
      <c r="E49" s="243">
        <f t="shared" si="7"/>
        <v>25.500499954949557</v>
      </c>
    </row>
    <row r="50" spans="1:5" ht="12.75">
      <c r="A50">
        <v>8.2</v>
      </c>
      <c r="B50">
        <f t="shared" si="4"/>
        <v>6.309573444801933E-09</v>
      </c>
      <c r="C50">
        <f t="shared" si="5"/>
        <v>-1.5785836190163115E-06</v>
      </c>
      <c r="D50" s="242">
        <f t="shared" si="6"/>
        <v>0.02550079719731203</v>
      </c>
      <c r="E50" s="243">
        <f t="shared" si="7"/>
        <v>25.50079719731203</v>
      </c>
    </row>
    <row r="51" spans="1:5" ht="12.75">
      <c r="A51">
        <v>8.4</v>
      </c>
      <c r="B51">
        <f t="shared" si="4"/>
        <v>3.9810717055349665E-09</v>
      </c>
      <c r="C51">
        <f t="shared" si="5"/>
        <v>-2.507905359804049E-06</v>
      </c>
      <c r="D51" s="242">
        <f t="shared" si="6"/>
        <v>0.025501266523969918</v>
      </c>
      <c r="E51" s="243">
        <f t="shared" si="7"/>
        <v>25.501266523969917</v>
      </c>
    </row>
    <row r="52" spans="1:5" ht="12.75">
      <c r="A52">
        <v>8.6</v>
      </c>
      <c r="B52">
        <f t="shared" si="4"/>
        <v>2.511886431509581E-09</v>
      </c>
      <c r="C52">
        <f t="shared" si="5"/>
        <v>-3.978559819103461E-06</v>
      </c>
      <c r="D52" s="242">
        <f t="shared" si="6"/>
        <v>0.025502009252647964</v>
      </c>
      <c r="E52" s="243">
        <f t="shared" si="7"/>
        <v>25.502009252647966</v>
      </c>
    </row>
    <row r="53" spans="1:5" ht="12.75">
      <c r="A53">
        <v>8.8</v>
      </c>
      <c r="B53">
        <f t="shared" si="4"/>
        <v>1.584893192461106E-09</v>
      </c>
      <c r="C53">
        <f t="shared" si="5"/>
        <v>-6.307988551609501E-06</v>
      </c>
      <c r="D53" s="242">
        <f t="shared" si="6"/>
        <v>0.025503185735174374</v>
      </c>
      <c r="E53" s="243">
        <f t="shared" si="7"/>
        <v>25.503185735174373</v>
      </c>
    </row>
    <row r="54" spans="1:5" ht="12.75">
      <c r="A54">
        <v>9</v>
      </c>
      <c r="B54">
        <f t="shared" si="4"/>
        <v>1E-09</v>
      </c>
      <c r="C54">
        <f t="shared" si="5"/>
        <v>-9.998999999999999E-06</v>
      </c>
      <c r="D54" s="242">
        <f t="shared" si="6"/>
        <v>0.025505049999949493</v>
      </c>
      <c r="E54" s="243">
        <f t="shared" si="7"/>
        <v>25.50504999994949</v>
      </c>
    </row>
    <row r="55" spans="1:5" ht="12.75">
      <c r="A55">
        <v>9.2</v>
      </c>
      <c r="B55">
        <f t="shared" si="4"/>
        <v>6.309573444801927E-10</v>
      </c>
      <c r="C55">
        <f t="shared" si="5"/>
        <v>-1.5848300967266667E-05</v>
      </c>
      <c r="D55" s="242">
        <f t="shared" si="6"/>
        <v>0.02550800466059117</v>
      </c>
      <c r="E55" s="243">
        <f t="shared" si="7"/>
        <v>25.50800466059117</v>
      </c>
    </row>
    <row r="56" spans="1:5" ht="12.75">
      <c r="A56">
        <v>9.4</v>
      </c>
      <c r="B56">
        <f t="shared" si="4"/>
        <v>3.981071705534962E-10</v>
      </c>
      <c r="C56">
        <f t="shared" si="5"/>
        <v>-2.511846620792531E-05</v>
      </c>
      <c r="D56" s="242">
        <f t="shared" si="6"/>
        <v>0.02551268801246912</v>
      </c>
      <c r="E56" s="243">
        <f t="shared" si="7"/>
        <v>25.512688012469123</v>
      </c>
    </row>
    <row r="57" spans="1:5" ht="12.75">
      <c r="A57">
        <v>9.6</v>
      </c>
      <c r="B57">
        <f t="shared" si="4"/>
        <v>2.5118864315095784E-10</v>
      </c>
      <c r="C57">
        <f t="shared" si="5"/>
        <v>-3.981046586670661E-05</v>
      </c>
      <c r="D57" s="242">
        <f t="shared" si="6"/>
        <v>0.025520112292059853</v>
      </c>
      <c r="E57" s="243">
        <f t="shared" si="7"/>
        <v>25.520112292059853</v>
      </c>
    </row>
    <row r="58" spans="1:5" ht="12.75">
      <c r="A58">
        <v>9.8</v>
      </c>
      <c r="B58">
        <f t="shared" si="4"/>
        <v>1.5848931924611098E-10</v>
      </c>
      <c r="C58">
        <f t="shared" si="5"/>
        <v>-6.309557595870023E-05</v>
      </c>
      <c r="D58" s="242">
        <f t="shared" si="6"/>
        <v>0.02553188338286319</v>
      </c>
      <c r="E58" s="243">
        <f t="shared" si="7"/>
        <v>25.531883382863192</v>
      </c>
    </row>
    <row r="59" spans="1:5" ht="12.75">
      <c r="A59">
        <v>10</v>
      </c>
      <c r="B59">
        <f t="shared" si="4"/>
        <v>1E-10</v>
      </c>
      <c r="C59">
        <f t="shared" si="5"/>
        <v>-9.99999E-05</v>
      </c>
      <c r="D59" s="242">
        <f t="shared" si="6"/>
        <v>0.025550550499949396</v>
      </c>
      <c r="E59" s="243">
        <f t="shared" si="7"/>
        <v>25.550550499949395</v>
      </c>
    </row>
    <row r="60" spans="1:5" ht="12.75">
      <c r="A60">
        <v>10.2</v>
      </c>
      <c r="B60">
        <f t="shared" si="4"/>
        <v>6.309573444801919E-11</v>
      </c>
      <c r="C60">
        <f t="shared" si="5"/>
        <v>-0.00015848925615037724</v>
      </c>
      <c r="D60" s="242">
        <f t="shared" si="6"/>
        <v>0.025580164125882748</v>
      </c>
      <c r="E60" s="243">
        <f t="shared" si="7"/>
        <v>25.580164125882746</v>
      </c>
    </row>
    <row r="61" spans="1:5" ht="12.75">
      <c r="A61">
        <v>10.4</v>
      </c>
      <c r="B61">
        <f t="shared" si="4"/>
        <v>3.981071705534958E-11</v>
      </c>
      <c r="C61">
        <f t="shared" si="5"/>
        <v>-0.00025118860334024187</v>
      </c>
      <c r="D61" s="242">
        <f t="shared" si="6"/>
        <v>0.025627169680430967</v>
      </c>
      <c r="E61" s="243">
        <f t="shared" si="7"/>
        <v>25.627169680430967</v>
      </c>
    </row>
    <row r="62" spans="1:5" ht="12.75">
      <c r="A62">
        <v>10.6</v>
      </c>
      <c r="B62">
        <f t="shared" si="4"/>
        <v>2.511886431509576E-11</v>
      </c>
      <c r="C62">
        <f t="shared" si="5"/>
        <v>-0.00039810714543463366</v>
      </c>
      <c r="D62" s="242">
        <f t="shared" si="6"/>
        <v>0.02570184767847539</v>
      </c>
      <c r="E62" s="243">
        <f t="shared" si="7"/>
        <v>25.70184767847539</v>
      </c>
    </row>
    <row r="63" spans="1:5" ht="12.75">
      <c r="A63">
        <v>10.8</v>
      </c>
      <c r="B63">
        <f t="shared" si="4"/>
        <v>1.5848931924611082E-11</v>
      </c>
      <c r="C63">
        <f t="shared" si="5"/>
        <v>-0.0006309573286312634</v>
      </c>
      <c r="D63" s="242">
        <f t="shared" si="6"/>
        <v>0.02582065665763991</v>
      </c>
      <c r="E63" s="243">
        <f t="shared" si="7"/>
        <v>25.82065665763991</v>
      </c>
    </row>
    <row r="64" spans="1:5" ht="12.75">
      <c r="A64">
        <v>11</v>
      </c>
      <c r="B64">
        <f t="shared" si="4"/>
        <v>1E-11</v>
      </c>
      <c r="C64">
        <f t="shared" si="5"/>
        <v>-0.00099999999</v>
      </c>
      <c r="D64" s="242">
        <f t="shared" si="6"/>
        <v>0.026010101004948473</v>
      </c>
      <c r="E64" s="243">
        <f t="shared" si="7"/>
        <v>26.010101004948474</v>
      </c>
    </row>
    <row r="65" spans="1:5" ht="12.75">
      <c r="A65">
        <v>11.2</v>
      </c>
      <c r="B65">
        <f t="shared" si="4"/>
        <v>6.3095734448019345E-12</v>
      </c>
      <c r="C65">
        <f t="shared" si="5"/>
        <v>-0.0015848931861515395</v>
      </c>
      <c r="D65" s="242">
        <f t="shared" si="6"/>
        <v>0.026313260367151176</v>
      </c>
      <c r="E65" s="243">
        <f t="shared" si="7"/>
        <v>26.313260367151177</v>
      </c>
    </row>
    <row r="66" spans="1:5" ht="12.75">
      <c r="A66">
        <v>11.4</v>
      </c>
      <c r="B66">
        <f t="shared" si="4"/>
        <v>3.981071705534953E-12</v>
      </c>
      <c r="C66">
        <f t="shared" si="5"/>
        <v>-0.0025118864275285205</v>
      </c>
      <c r="D66" s="242">
        <f t="shared" si="6"/>
        <v>0.026801186985179387</v>
      </c>
      <c r="E66" s="243">
        <f t="shared" si="7"/>
        <v>26.80118698517939</v>
      </c>
    </row>
    <row r="67" spans="1:5" ht="12.75">
      <c r="A67">
        <v>11.6</v>
      </c>
      <c r="B67">
        <f t="shared" si="4"/>
        <v>2.5118864315095726E-12</v>
      </c>
      <c r="C67">
        <f t="shared" si="5"/>
        <v>-0.003981071703023098</v>
      </c>
      <c r="D67" s="242">
        <f t="shared" si="6"/>
        <v>0.027593796760372675</v>
      </c>
      <c r="E67" s="243">
        <f t="shared" si="7"/>
        <v>27.593796760372676</v>
      </c>
    </row>
    <row r="68" spans="1:5" ht="12.75">
      <c r="A68">
        <v>11.8</v>
      </c>
      <c r="B68">
        <f t="shared" si="4"/>
        <v>1.5848931924611065E-12</v>
      </c>
      <c r="C68">
        <f t="shared" si="5"/>
        <v>-0.006309573443217067</v>
      </c>
      <c r="D68" s="242">
        <f t="shared" si="6"/>
        <v>0.02890091800830203</v>
      </c>
      <c r="E68" s="243">
        <f t="shared" si="7"/>
        <v>28.900918008302032</v>
      </c>
    </row>
    <row r="69" spans="1:5" ht="12.75">
      <c r="A69">
        <v>12</v>
      </c>
      <c r="B69">
        <f t="shared" si="4"/>
        <v>1E-12</v>
      </c>
      <c r="C69">
        <f t="shared" si="5"/>
        <v>-0.009999999999</v>
      </c>
      <c r="D69" s="242">
        <f t="shared" si="6"/>
        <v>0.031111111110487654</v>
      </c>
      <c r="E69" s="243">
        <f t="shared" si="7"/>
        <v>31.111111110487656</v>
      </c>
    </row>
    <row r="70" spans="1:5" ht="12.75">
      <c r="A70">
        <v>12.2</v>
      </c>
      <c r="B70">
        <f t="shared" si="4"/>
        <v>6.309573444801928E-13</v>
      </c>
      <c r="C70">
        <f t="shared" si="5"/>
        <v>-0.015848931923980188</v>
      </c>
      <c r="D70" s="242">
        <f t="shared" si="6"/>
        <v>0.035011121848601674</v>
      </c>
      <c r="E70" s="243">
        <f t="shared" si="7"/>
        <v>35.011121848601675</v>
      </c>
    </row>
    <row r="71" spans="1:5" ht="12.75">
      <c r="A71">
        <v>12.4</v>
      </c>
      <c r="B71">
        <f t="shared" si="4"/>
        <v>3.981071705534963E-13</v>
      </c>
      <c r="C71">
        <f t="shared" si="5"/>
        <v>-0.02511886431469775</v>
      </c>
      <c r="D71" s="242">
        <f t="shared" si="6"/>
        <v>0.04244021646818078</v>
      </c>
      <c r="E71" s="243">
        <f t="shared" si="7"/>
        <v>42.44021646818078</v>
      </c>
    </row>
    <row r="72" spans="1:5" ht="12.75">
      <c r="A72">
        <v>12.6</v>
      </c>
      <c r="B72">
        <f t="shared" si="4"/>
        <v>2.511886431509579E-13</v>
      </c>
      <c r="C72">
        <f t="shared" si="5"/>
        <v>-0.03981071705509855</v>
      </c>
      <c r="D72" s="242">
        <f t="shared" si="6"/>
        <v>0.0589019797697686</v>
      </c>
      <c r="E72" s="243">
        <f t="shared" si="7"/>
        <v>58.9019797697686</v>
      </c>
    </row>
    <row r="73" spans="1:5" ht="12.75">
      <c r="A73">
        <v>12.8</v>
      </c>
      <c r="B73">
        <f aca="true" t="shared" si="8" ref="B73:B79">10^-A73</f>
        <v>1.5848931924611046E-13</v>
      </c>
      <c r="C73">
        <f aca="true" t="shared" si="9" ref="C73:C79">B73-$B$3/B73</f>
        <v>-0.0630957344478612</v>
      </c>
      <c r="D73" s="242">
        <f aca="true" t="shared" si="10" ref="D73:D79">$B$5*($B$4-C73)/($D$4+C73)</f>
        <v>0.11184055012191739</v>
      </c>
      <c r="E73" s="243">
        <f aca="true" t="shared" si="11" ref="E73:E79">D73*1000</f>
        <v>111.84055012191739</v>
      </c>
    </row>
    <row r="74" spans="1:5" ht="12.75">
      <c r="A74">
        <v>13</v>
      </c>
      <c r="B74">
        <f t="shared" si="8"/>
        <v>1E-13</v>
      </c>
      <c r="C74">
        <f t="shared" si="9"/>
        <v>-0.09999999999989999</v>
      </c>
      <c r="D74" s="242">
        <f t="shared" si="10"/>
        <v>50491307047.50325</v>
      </c>
      <c r="E74" s="243">
        <f t="shared" si="11"/>
        <v>50491307047503.25</v>
      </c>
    </row>
    <row r="75" spans="1:5" ht="12.75">
      <c r="A75">
        <v>13.2</v>
      </c>
      <c r="B75">
        <f t="shared" si="8"/>
        <v>6.309573444801921E-14</v>
      </c>
      <c r="C75">
        <f t="shared" si="9"/>
        <v>-0.15848931924604853</v>
      </c>
      <c r="D75" s="242">
        <f t="shared" si="10"/>
        <v>-0.11134055012259648</v>
      </c>
      <c r="E75" s="243">
        <f t="shared" si="11"/>
        <v>-111.34055012259648</v>
      </c>
    </row>
    <row r="76" spans="1:5" ht="12.75">
      <c r="A76">
        <v>13.4</v>
      </c>
      <c r="B76">
        <f t="shared" si="8"/>
        <v>3.981071705534959E-14</v>
      </c>
      <c r="C76">
        <f t="shared" si="9"/>
        <v>-0.25118864315091904</v>
      </c>
      <c r="D76" s="242">
        <f t="shared" si="10"/>
        <v>-0.058401979770127344</v>
      </c>
      <c r="E76" s="243">
        <f t="shared" si="11"/>
        <v>-58.40197977012734</v>
      </c>
    </row>
    <row r="77" spans="1:5" ht="12.75">
      <c r="A77">
        <v>13.6</v>
      </c>
      <c r="B77">
        <f t="shared" si="8"/>
        <v>2.511886431509576E-14</v>
      </c>
      <c r="C77">
        <f t="shared" si="9"/>
        <v>-0.3981071705534728</v>
      </c>
      <c r="D77" s="242">
        <f t="shared" si="10"/>
        <v>-0.04194021646854066</v>
      </c>
      <c r="E77" s="243">
        <f t="shared" si="11"/>
        <v>-41.94021646854066</v>
      </c>
    </row>
    <row r="78" spans="1:5" ht="12.75">
      <c r="A78">
        <v>13.8</v>
      </c>
      <c r="B78">
        <f t="shared" si="8"/>
        <v>1.5848931924611084E-14</v>
      </c>
      <c r="C78">
        <f t="shared" si="9"/>
        <v>-0.6309573444801794</v>
      </c>
      <c r="D78" s="242">
        <f t="shared" si="10"/>
        <v>-0.03451112184905188</v>
      </c>
      <c r="E78" s="243">
        <f t="shared" si="11"/>
        <v>-34.51112184905188</v>
      </c>
    </row>
    <row r="79" spans="1:5" ht="12.75">
      <c r="A79">
        <v>14</v>
      </c>
      <c r="B79">
        <f t="shared" si="8"/>
        <v>1E-14</v>
      </c>
      <c r="C79">
        <f t="shared" si="9"/>
        <v>-0.99999999999999</v>
      </c>
      <c r="D79" s="242">
        <f t="shared" si="10"/>
        <v>-0.03061111111111118</v>
      </c>
      <c r="E79" s="244">
        <f t="shared" si="11"/>
        <v>-30.611111111111178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Mussini</cp:lastModifiedBy>
  <cp:lastPrinted>2009-09-23T06:58:59Z</cp:lastPrinted>
  <dcterms:created xsi:type="dcterms:W3CDTF">2009-09-02T15:12:29Z</dcterms:created>
  <dcterms:modified xsi:type="dcterms:W3CDTF">2013-06-01T11:54:59Z</dcterms:modified>
  <cp:category/>
  <cp:version/>
  <cp:contentType/>
  <cp:contentStatus/>
</cp:coreProperties>
</file>